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816" windowWidth="6540" windowHeight="5016" tabRatio="689" activeTab="0"/>
  </bookViews>
  <sheets>
    <sheet name="General" sheetId="1" r:id="rId1"/>
    <sheet name="Double Dichotomy" sheetId="2" r:id="rId2"/>
    <sheet name="Convert" sheetId="3" r:id="rId3"/>
  </sheets>
  <definedNames/>
  <calcPr fullCalcOnLoad="1"/>
</workbook>
</file>

<file path=xl/sharedStrings.xml><?xml version="1.0" encoding="utf-8"?>
<sst xmlns="http://schemas.openxmlformats.org/spreadsheetml/2006/main" count="110" uniqueCount="99">
  <si>
    <t>SUM</t>
  </si>
  <si>
    <t xml:space="preserve">P1-value  </t>
  </si>
  <si>
    <t>CHI SQUARE</t>
  </si>
  <si>
    <t xml:space="preserve">Computed value </t>
  </si>
  <si>
    <t>happiness</t>
  </si>
  <si>
    <t>OBSERVED FREQUENCIES</t>
  </si>
  <si>
    <t>INDEPENDENT VARIABLE</t>
  </si>
  <si>
    <t>DEPENDENT VARIABLE</t>
  </si>
  <si>
    <t>(correlate, covariable)</t>
  </si>
  <si>
    <t>number of levels (max. 12)</t>
  </si>
  <si>
    <t>(response variable)</t>
  </si>
  <si>
    <t>nationality</t>
  </si>
  <si>
    <t>EXPECTEDED FREQUENCIES</t>
  </si>
  <si>
    <t>OBSERVED FREQUENCIES II</t>
  </si>
  <si>
    <t xml:space="preserve">Degrees of freedom </t>
  </si>
  <si>
    <t xml:space="preserve">    ANALYSIS of a  CONTINGENCY TABLE WITH  &gt;1  DF</t>
  </si>
  <si>
    <t>ANALYSIS of a  2 x 2  CONTINGENCY TABLE:</t>
  </si>
  <si>
    <t xml:space="preserve">CORRELATE:  </t>
  </si>
  <si>
    <t>male sex</t>
  </si>
  <si>
    <t>CORRELATE VALUES</t>
  </si>
  <si>
    <t>not happy</t>
  </si>
  <si>
    <t>happy</t>
  </si>
  <si>
    <t xml:space="preserve"> SUM</t>
  </si>
  <si>
    <t>female</t>
  </si>
  <si>
    <t xml:space="preserve">male </t>
  </si>
  <si>
    <t>EXPECTED FREQUENCIES</t>
  </si>
  <si>
    <t xml:space="preserve">SIGN: </t>
  </si>
  <si>
    <t xml:space="preserve">Absolute difference (O-E) =  </t>
  </si>
  <si>
    <t>incl.Yates' correction</t>
  </si>
  <si>
    <t>without Yates' correction</t>
  </si>
  <si>
    <t>ODDS RATIO:</t>
  </si>
  <si>
    <t>Value 1 (high):</t>
  </si>
  <si>
    <t>Value 2 (low):</t>
  </si>
  <si>
    <t xml:space="preserve">Check:  </t>
  </si>
  <si>
    <t xml:space="preserve">Diagonal sum:      </t>
  </si>
  <si>
    <t xml:space="preserve">o  </t>
  </si>
  <si>
    <t xml:space="preserve">e  </t>
  </si>
  <si>
    <t xml:space="preserve">Difference  </t>
  </si>
  <si>
    <t xml:space="preserve"> r</t>
  </si>
  <si>
    <t xml:space="preserve"> c</t>
  </si>
  <si>
    <r>
      <t>CHI SQUARED  (χ</t>
    </r>
    <r>
      <rPr>
        <b/>
        <sz val="10"/>
        <rFont val="Verdana"/>
        <family val="2"/>
      </rPr>
      <t>²)</t>
    </r>
  </si>
  <si>
    <t>OTHER STATISTICS</t>
  </si>
  <si>
    <r>
      <t>0 ≤χ</t>
    </r>
    <r>
      <rPr>
        <sz val="10"/>
        <rFont val="Verdana"/>
        <family val="2"/>
      </rPr>
      <t>²</t>
    </r>
    <r>
      <rPr>
        <sz val="10"/>
        <rFont val="Arial"/>
        <family val="2"/>
      </rPr>
      <t xml:space="preserve">≤    </t>
    </r>
  </si>
  <si>
    <t xml:space="preserve">min(r;c) </t>
  </si>
  <si>
    <t>NL</t>
  </si>
  <si>
    <t>BE</t>
  </si>
  <si>
    <t>unhappy</t>
  </si>
  <si>
    <t xml:space="preserve">        CONVERSION  of  ASSOCIATION MEASURES  in CROSS TABULATIONS.</t>
  </si>
  <si>
    <t>FEATURES OF THIS PROGRAMME.</t>
  </si>
  <si>
    <t>1.  The programme is applicable to cross tabulations when at least one variable</t>
  </si>
  <si>
    <t xml:space="preserve">     (the correlate II) is measured at the nominal level  !</t>
  </si>
  <si>
    <t>2.  Given one association statistic, the programme computes  seven other measures.</t>
  </si>
  <si>
    <t>3.  The programme computes the right hand tail probability (P1-value) of chi squared</t>
  </si>
  <si>
    <t xml:space="preserve">     value as a test on the null hypothesis that there is no association at all.</t>
  </si>
  <si>
    <t xml:space="preserve">     This P1-value applies to all other association statistics as well.</t>
  </si>
  <si>
    <t>4.  P1-values are given not only in the "usual" (decimal) format, but also in the scientific or:</t>
  </si>
  <si>
    <t xml:space="preserve">     "E-format",  in which e.g. 0,00452 is written as 4,52E-03</t>
  </si>
  <si>
    <t>5.  The programme gives error messages if</t>
  </si>
  <si>
    <t xml:space="preserve">     - the numbers of rows and/or columns are &lt; 2,  and/or if</t>
  </si>
  <si>
    <t xml:space="preserve">     - if an association statistic value is entered that exceeds its theoretically maximum value and/or if</t>
  </si>
  <si>
    <t xml:space="preserve">     - the number of observations is less than the number of cells.</t>
  </si>
  <si>
    <t xml:space="preserve">     In cases of those errors the output is unreliable  !</t>
  </si>
  <si>
    <t>6.  All cells are protected, except the (yellow) input cells.</t>
  </si>
  <si>
    <t>DATA SET:</t>
  </si>
  <si>
    <t xml:space="preserve">     INPUT:</t>
  </si>
  <si>
    <t xml:space="preserve">   OUTPUT:</t>
  </si>
  <si>
    <t>Total number of observations  [N]</t>
  </si>
  <si>
    <t>Number of columns  [c; c&gt;1]]</t>
  </si>
  <si>
    <t xml:space="preserve">  P1-value  of χ²</t>
  </si>
  <si>
    <t>Number of rows [r; r&gt;1]</t>
  </si>
  <si>
    <t>Min (c,r)</t>
  </si>
  <si>
    <t>ASSOCIATION MEASURES [and their range]:</t>
  </si>
  <si>
    <t>If two or more measures are entered, the programme selects the strongest association.</t>
  </si>
  <si>
    <t>Chi squared   (χ²)                                                      [0; ∞)</t>
  </si>
  <si>
    <t>Degrees of freedom of  χ²</t>
  </si>
  <si>
    <t xml:space="preserve">Chi squared  (χ²) </t>
  </si>
  <si>
    <r>
      <t>Recommendation</t>
    </r>
    <r>
      <rPr>
        <sz val="10"/>
        <rFont val="Arial"/>
        <family val="2"/>
      </rPr>
      <t>: clear the next 8 yellow cells in column B before entering  a  value.</t>
    </r>
  </si>
  <si>
    <t>Phi coefficient   (φ)</t>
  </si>
  <si>
    <t>Phi squared (φ²)                                            [0; min(c,r)-1]</t>
  </si>
  <si>
    <t>(independent/exogenic variable)</t>
  </si>
  <si>
    <t xml:space="preserve">RESPONSE:  </t>
  </si>
  <si>
    <t>(dependent/endogenic variable)</t>
  </si>
  <si>
    <t xml:space="preserve">wmk/2006-09-12  </t>
  </si>
  <si>
    <t>CALCULATIONS.</t>
  </si>
  <si>
    <t>Pearson's Contingency Coefficient  C                           [0;1)</t>
  </si>
  <si>
    <t>Cramér's V                                                                  [0;1]</t>
  </si>
  <si>
    <t>Cramér's V squared (V²)                                               [0;1]</t>
  </si>
  <si>
    <t>Tschuprow's T squared  (T²)                                       [0;≤ 1]</t>
  </si>
  <si>
    <t xml:space="preserve">Tschuprow's T                                                           [0;≤ 1] </t>
  </si>
  <si>
    <t>W.M. Kalmijn, 2006-09-12</t>
  </si>
  <si>
    <r>
      <t>(o-e)</t>
    </r>
    <r>
      <rPr>
        <sz val="8"/>
        <rFont val="Verdana"/>
        <family val="2"/>
      </rPr>
      <t>²</t>
    </r>
    <r>
      <rPr>
        <sz val="8"/>
        <rFont val="Arial"/>
        <family val="2"/>
      </rPr>
      <t>/e</t>
    </r>
  </si>
  <si>
    <t>W.M.Kalmijn; 2006-09-19</t>
  </si>
  <si>
    <t>Phi coëfficient  (φ)</t>
  </si>
  <si>
    <t>Pearson's Contingency coëfficient C [0;1)</t>
  </si>
  <si>
    <r>
      <t>Phi squared  (φ</t>
    </r>
    <r>
      <rPr>
        <sz val="10"/>
        <rFont val="Verdana"/>
        <family val="2"/>
      </rPr>
      <t>²</t>
    </r>
    <r>
      <rPr>
        <sz val="10"/>
        <rFont val="Arial"/>
        <family val="2"/>
      </rPr>
      <t>)               [0; min(r;c)-1]</t>
    </r>
  </si>
  <si>
    <t>Cramér's V                                      [0;1]</t>
  </si>
  <si>
    <r>
      <t>Cramér's V</t>
    </r>
    <r>
      <rPr>
        <sz val="10"/>
        <rFont val="Verdana"/>
        <family val="2"/>
      </rPr>
      <t>²</t>
    </r>
    <r>
      <rPr>
        <sz val="10"/>
        <rFont val="Arial"/>
        <family val="2"/>
      </rPr>
      <t xml:space="preserve">                                    [0;1]</t>
    </r>
  </si>
  <si>
    <t>Tschuprow's T                               [0; ≤1]</t>
  </si>
  <si>
    <r>
      <t>Tschuprow's T</t>
    </r>
    <r>
      <rPr>
        <sz val="10"/>
        <rFont val="Verdana"/>
        <family val="2"/>
      </rPr>
      <t>²</t>
    </r>
    <r>
      <rPr>
        <sz val="10"/>
        <rFont val="Arial"/>
        <family val="2"/>
      </rPr>
      <t xml:space="preserve">                             [0; ≤1]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</si>
</sst>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_);\(&quot;fl&quot;\ #,##0\)"/>
    <numFmt numFmtId="179" formatCode="&quot;fl&quot;\ #,##0_);[Red]\(&quot;fl&quot;\ #,##0\)"/>
    <numFmt numFmtId="180" formatCode="&quot;fl&quot;\ #,##0.00_);\(&quot;fl&quot;\ #,##0.00\)"/>
    <numFmt numFmtId="181" formatCode="&quot;fl&quot;\ #,##0.00_);[Red]\(&quot;fl&quot;\ #,##0.00\)"/>
    <numFmt numFmtId="182" formatCode="_(&quot;fl&quot;\ * #,##0_);_(&quot;fl&quot;\ * \(#,##0\);_(&quot;fl&quot;\ * &quot;-&quot;_);_(@_)"/>
    <numFmt numFmtId="183" formatCode="_(&quot;fl&quot;\ * #,##0.00_);_(&quot;fl&quot;\ * \(#,##0.00\);_(&quot;fl&quot;\ 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;;"/>
    <numFmt numFmtId="191" formatCode="0.0"/>
    <numFmt numFmtId="192" formatCode="0.0000000000"/>
    <numFmt numFmtId="193" formatCode="0.000000000"/>
    <numFmt numFmtId="194" formatCode="0_)"/>
    <numFmt numFmtId="195" formatCode="0.00_)"/>
    <numFmt numFmtId="196" formatCode="0.0E+00"/>
    <numFmt numFmtId="197" formatCode="0.0%"/>
    <numFmt numFmtId="198" formatCode="0.0_)"/>
  </numFmts>
  <fonts count="53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3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8"/>
      <name val="Courier"/>
      <family val="0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7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95" fontId="1" fillId="34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88" fontId="1" fillId="34" borderId="15" xfId="0" applyNumberFormat="1" applyFont="1" applyFill="1" applyBorder="1" applyAlignment="1" applyProtection="1">
      <alignment horizontal="center" vertical="center"/>
      <protection/>
    </xf>
    <xf numFmtId="196" fontId="1" fillId="34" borderId="16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94" fontId="1" fillId="0" borderId="10" xfId="0" applyNumberFormat="1" applyFont="1" applyBorder="1" applyAlignment="1" applyProtection="1">
      <alignment horizontal="center" vertical="center"/>
      <protection/>
    </xf>
    <xf numFmtId="1" fontId="6" fillId="35" borderId="18" xfId="0" applyNumberFormat="1" applyFont="1" applyFill="1" applyBorder="1" applyAlignment="1" applyProtection="1">
      <alignment horizontal="center" vertical="center"/>
      <protection locked="0"/>
    </xf>
    <xf numFmtId="194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" fontId="2" fillId="33" borderId="20" xfId="0" applyNumberFormat="1" applyFont="1" applyFill="1" applyBorder="1" applyAlignment="1" applyProtection="1">
      <alignment horizontal="center" vertical="center"/>
      <protection locked="0"/>
    </xf>
    <xf numFmtId="1" fontId="2" fillId="33" borderId="21" xfId="0" applyNumberFormat="1" applyFont="1" applyFill="1" applyBorder="1" applyAlignment="1" applyProtection="1">
      <alignment horizontal="center" vertical="center"/>
      <protection locked="0"/>
    </xf>
    <xf numFmtId="1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24" xfId="0" applyNumberFormat="1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194" fontId="1" fillId="0" borderId="0" xfId="0" applyNumberFormat="1" applyFont="1" applyBorder="1" applyAlignment="1" applyProtection="1">
      <alignment horizontal="right" vertical="center"/>
      <protection/>
    </xf>
    <xf numFmtId="194" fontId="5" fillId="0" borderId="26" xfId="0" applyNumberFormat="1" applyFont="1" applyFill="1" applyBorder="1" applyAlignment="1" applyProtection="1">
      <alignment horizontal="center" vertical="center"/>
      <protection/>
    </xf>
    <xf numFmtId="194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/>
    </xf>
    <xf numFmtId="0" fontId="3" fillId="0" borderId="29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194" fontId="2" fillId="33" borderId="20" xfId="0" applyNumberFormat="1" applyFont="1" applyFill="1" applyBorder="1" applyAlignment="1" applyProtection="1">
      <alignment horizontal="center" vertical="center"/>
      <protection locked="0"/>
    </xf>
    <xf numFmtId="194" fontId="2" fillId="33" borderId="33" xfId="0" applyNumberFormat="1" applyFont="1" applyFill="1" applyBorder="1" applyAlignment="1" applyProtection="1">
      <alignment horizontal="center" vertical="center"/>
      <protection locked="0"/>
    </xf>
    <xf numFmtId="194" fontId="1" fillId="0" borderId="34" xfId="0" applyNumberFormat="1" applyFont="1" applyBorder="1" applyAlignment="1" applyProtection="1">
      <alignment horizontal="center" vertical="center"/>
      <protection/>
    </xf>
    <xf numFmtId="194" fontId="2" fillId="33" borderId="23" xfId="0" applyNumberFormat="1" applyFont="1" applyFill="1" applyBorder="1" applyAlignment="1" applyProtection="1">
      <alignment horizontal="center" vertical="center"/>
      <protection locked="0"/>
    </xf>
    <xf numFmtId="194" fontId="2" fillId="33" borderId="35" xfId="0" applyNumberFormat="1" applyFont="1" applyFill="1" applyBorder="1" applyAlignment="1" applyProtection="1">
      <alignment horizontal="center" vertical="center"/>
      <protection locked="0"/>
    </xf>
    <xf numFmtId="194" fontId="1" fillId="0" borderId="31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194" fontId="1" fillId="0" borderId="20" xfId="0" applyNumberFormat="1" applyFont="1" applyBorder="1" applyAlignment="1" applyProtection="1">
      <alignment horizontal="center" vertical="center"/>
      <protection/>
    </xf>
    <xf numFmtId="194" fontId="1" fillId="0" borderId="33" xfId="0" applyNumberFormat="1" applyFont="1" applyBorder="1" applyAlignment="1" applyProtection="1">
      <alignment horizontal="center" vertical="center"/>
      <protection/>
    </xf>
    <xf numFmtId="194" fontId="1" fillId="0" borderId="23" xfId="0" applyNumberFormat="1" applyFont="1" applyBorder="1" applyAlignment="1" applyProtection="1">
      <alignment horizontal="center" vertical="center"/>
      <protection/>
    </xf>
    <xf numFmtId="194" fontId="1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right" vertical="center"/>
      <protection/>
    </xf>
    <xf numFmtId="195" fontId="5" fillId="34" borderId="31" xfId="0" applyNumberFormat="1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194" fontId="10" fillId="0" borderId="0" xfId="0" applyNumberFormat="1" applyFont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4" fontId="4" fillId="34" borderId="3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8" fillId="36" borderId="39" xfId="0" applyFont="1" applyFill="1" applyBorder="1" applyAlignment="1">
      <alignment horizontal="center"/>
    </xf>
    <xf numFmtId="0" fontId="1" fillId="36" borderId="40" xfId="0" applyFont="1" applyFill="1" applyBorder="1" applyAlignment="1" applyProtection="1">
      <alignment vertical="center"/>
      <protection/>
    </xf>
    <xf numFmtId="0" fontId="1" fillId="36" borderId="41" xfId="0" applyFont="1" applyFill="1" applyBorder="1" applyAlignment="1" applyProtection="1">
      <alignment vertical="center"/>
      <protection/>
    </xf>
    <xf numFmtId="194" fontId="1" fillId="34" borderId="14" xfId="0" applyNumberFormat="1" applyFont="1" applyFill="1" applyBorder="1" applyAlignment="1" applyProtection="1">
      <alignment horizontal="center" vertical="center"/>
      <protection/>
    </xf>
    <xf numFmtId="194" fontId="1" fillId="34" borderId="42" xfId="0" applyNumberFormat="1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194" fontId="1" fillId="34" borderId="32" xfId="0" applyNumberFormat="1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194" fontId="1" fillId="34" borderId="44" xfId="0" applyNumberFormat="1" applyFont="1" applyFill="1" applyBorder="1" applyAlignment="1" applyProtection="1">
      <alignment horizontal="center" vertical="center"/>
      <protection/>
    </xf>
    <xf numFmtId="194" fontId="2" fillId="34" borderId="44" xfId="0" applyNumberFormat="1" applyFont="1" applyFill="1" applyBorder="1" applyAlignment="1" applyProtection="1">
      <alignment horizontal="center" vertical="center"/>
      <protection/>
    </xf>
    <xf numFmtId="194" fontId="2" fillId="34" borderId="45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194" fontId="1" fillId="34" borderId="50" xfId="0" applyNumberFormat="1" applyFont="1" applyFill="1" applyBorder="1" applyAlignment="1" applyProtection="1">
      <alignment horizontal="center" vertical="center"/>
      <protection/>
    </xf>
    <xf numFmtId="194" fontId="1" fillId="34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51" xfId="0" applyFont="1" applyFill="1" applyBorder="1" applyAlignment="1" applyProtection="1">
      <alignment horizontal="center" vertical="center"/>
      <protection locked="0"/>
    </xf>
    <xf numFmtId="2" fontId="1" fillId="34" borderId="43" xfId="0" applyNumberFormat="1" applyFont="1" applyFill="1" applyBorder="1" applyAlignment="1" applyProtection="1">
      <alignment horizontal="center"/>
      <protection/>
    </xf>
    <xf numFmtId="2" fontId="1" fillId="34" borderId="44" xfId="0" applyNumberFormat="1" applyFont="1" applyFill="1" applyBorder="1" applyAlignment="1" applyProtection="1">
      <alignment horizontal="center"/>
      <protection/>
    </xf>
    <xf numFmtId="2" fontId="1" fillId="34" borderId="45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48" xfId="0" applyFont="1" applyBorder="1" applyAlignment="1" applyProtection="1">
      <alignment horizontal="left"/>
      <protection/>
    </xf>
    <xf numFmtId="1" fontId="6" fillId="35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1" fontId="2" fillId="33" borderId="54" xfId="0" applyNumberFormat="1" applyFont="1" applyFill="1" applyBorder="1" applyAlignment="1" applyProtection="1">
      <alignment horizontal="center" vertical="center"/>
      <protection locked="0"/>
    </xf>
    <xf numFmtId="1" fontId="2" fillId="33" borderId="31" xfId="0" applyNumberFormat="1" applyFont="1" applyFill="1" applyBorder="1" applyAlignment="1" applyProtection="1">
      <alignment horizontal="center" vertical="center"/>
      <protection locked="0"/>
    </xf>
    <xf numFmtId="1" fontId="2" fillId="33" borderId="55" xfId="0" applyNumberFormat="1" applyFont="1" applyFill="1" applyBorder="1" applyAlignment="1" applyProtection="1">
      <alignment horizontal="center" vertical="center"/>
      <protection locked="0"/>
    </xf>
    <xf numFmtId="194" fontId="1" fillId="0" borderId="29" xfId="0" applyNumberFormat="1" applyFont="1" applyBorder="1" applyAlignment="1" applyProtection="1">
      <alignment horizontal="center" vertical="center"/>
      <protection/>
    </xf>
    <xf numFmtId="194" fontId="1" fillId="34" borderId="31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194" fontId="1" fillId="34" borderId="53" xfId="0" applyNumberFormat="1" applyFont="1" applyFill="1" applyBorder="1" applyAlignment="1" applyProtection="1">
      <alignment horizontal="center" vertical="center"/>
      <protection/>
    </xf>
    <xf numFmtId="0" fontId="3" fillId="36" borderId="57" xfId="0" applyFont="1" applyFill="1" applyBorder="1" applyAlignment="1" applyProtection="1">
      <alignment/>
      <protection/>
    </xf>
    <xf numFmtId="0" fontId="3" fillId="36" borderId="58" xfId="0" applyFont="1" applyFill="1" applyBorder="1" applyAlignment="1" applyProtection="1">
      <alignment/>
      <protection/>
    </xf>
    <xf numFmtId="0" fontId="3" fillId="36" borderId="5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6" fillId="38" borderId="28" xfId="0" applyFont="1" applyFill="1" applyBorder="1" applyAlignment="1" applyProtection="1">
      <alignment/>
      <protection/>
    </xf>
    <xf numFmtId="0" fontId="10" fillId="39" borderId="0" xfId="0" applyFont="1" applyFill="1" applyBorder="1" applyAlignment="1" applyProtection="1">
      <alignment/>
      <protection/>
    </xf>
    <xf numFmtId="0" fontId="10" fillId="39" borderId="29" xfId="0" applyFont="1" applyFill="1" applyBorder="1" applyAlignment="1" applyProtection="1">
      <alignment/>
      <protection/>
    </xf>
    <xf numFmtId="0" fontId="1" fillId="0" borderId="61" xfId="0" applyFont="1" applyBorder="1" applyAlignment="1" applyProtection="1">
      <alignment horizontal="left"/>
      <protection/>
    </xf>
    <xf numFmtId="11" fontId="17" fillId="34" borderId="62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/>
      <protection/>
    </xf>
    <xf numFmtId="2" fontId="4" fillId="34" borderId="63" xfId="0" applyNumberFormat="1" applyFont="1" applyFill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1" fontId="1" fillId="35" borderId="14" xfId="0" applyNumberFormat="1" applyFont="1" applyFill="1" applyBorder="1" applyAlignment="1" applyProtection="1">
      <alignment horizontal="center"/>
      <protection locked="0"/>
    </xf>
    <xf numFmtId="190" fontId="1" fillId="0" borderId="0" xfId="0" applyNumberFormat="1" applyFont="1" applyBorder="1" applyAlignment="1" applyProtection="1">
      <alignment horizontal="center"/>
      <protection/>
    </xf>
    <xf numFmtId="188" fontId="1" fillId="34" borderId="66" xfId="0" applyNumberFormat="1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left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90" fontId="1" fillId="0" borderId="0" xfId="0" applyNumberFormat="1" applyFont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1" fillId="0" borderId="29" xfId="0" applyFont="1" applyBorder="1" applyAlignment="1" applyProtection="1">
      <alignment horizontal="center"/>
      <protection/>
    </xf>
    <xf numFmtId="2" fontId="1" fillId="34" borderId="67" xfId="0" applyNumberFormat="1" applyFont="1" applyFill="1" applyBorder="1" applyAlignment="1" applyProtection="1">
      <alignment horizontal="center"/>
      <protection/>
    </xf>
    <xf numFmtId="2" fontId="1" fillId="34" borderId="68" xfId="0" applyNumberFormat="1" applyFont="1" applyFill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1" fillId="34" borderId="45" xfId="0" applyNumberFormat="1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11" fillId="0" borderId="58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Alignment="1">
      <alignment horizontal="center"/>
    </xf>
    <xf numFmtId="0" fontId="1" fillId="0" borderId="0" xfId="0" applyFont="1" applyBorder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70" xfId="0" applyFont="1" applyBorder="1" applyAlignment="1" applyProtection="1">
      <alignment vertical="center"/>
      <protection/>
    </xf>
    <xf numFmtId="0" fontId="1" fillId="0" borderId="29" xfId="0" applyFont="1" applyBorder="1" applyAlignment="1">
      <alignment vertical="center"/>
    </xf>
    <xf numFmtId="0" fontId="1" fillId="0" borderId="40" xfId="0" applyFont="1" applyBorder="1" applyAlignment="1" applyProtection="1">
      <alignment horizontal="center" vertical="center"/>
      <protection/>
    </xf>
    <xf numFmtId="194" fontId="1" fillId="0" borderId="40" xfId="0" applyNumberFormat="1" applyFont="1" applyFill="1" applyBorder="1" applyAlignment="1" applyProtection="1">
      <alignment horizontal="center" vertical="center"/>
      <protection/>
    </xf>
    <xf numFmtId="194" fontId="1" fillId="0" borderId="40" xfId="0" applyNumberFormat="1" applyFont="1" applyBorder="1" applyAlignment="1" applyProtection="1">
      <alignment horizontal="center" vertical="center"/>
      <protection/>
    </xf>
    <xf numFmtId="194" fontId="1" fillId="0" borderId="41" xfId="0" applyNumberFormat="1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194" fontId="1" fillId="0" borderId="64" xfId="0" applyNumberFormat="1" applyFont="1" applyFill="1" applyBorder="1" applyAlignment="1" applyProtection="1">
      <alignment horizontal="center" vertical="center"/>
      <protection/>
    </xf>
    <xf numFmtId="194" fontId="1" fillId="0" borderId="64" xfId="0" applyNumberFormat="1" applyFont="1" applyBorder="1" applyAlignment="1" applyProtection="1">
      <alignment horizontal="center" vertical="center"/>
      <protection/>
    </xf>
    <xf numFmtId="194" fontId="1" fillId="0" borderId="65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1" fontId="1" fillId="0" borderId="73" xfId="0" applyNumberFormat="1" applyFont="1" applyFill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right"/>
      <protection/>
    </xf>
    <xf numFmtId="1" fontId="1" fillId="0" borderId="7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39" xfId="0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2" fontId="1" fillId="0" borderId="46" xfId="0" applyNumberFormat="1" applyFont="1" applyFill="1" applyBorder="1" applyAlignment="1" applyProtection="1">
      <alignment horizontal="center"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2" fontId="1" fillId="0" borderId="52" xfId="0" applyNumberFormat="1" applyFont="1" applyFill="1" applyBorder="1" applyAlignment="1" applyProtection="1">
      <alignment horizontal="center" vertical="center"/>
      <protection/>
    </xf>
    <xf numFmtId="2" fontId="1" fillId="0" borderId="47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48" xfId="0" applyNumberFormat="1" applyFont="1" applyFill="1" applyBorder="1" applyAlignment="1" applyProtection="1">
      <alignment horizontal="center" vertical="center"/>
      <protection/>
    </xf>
    <xf numFmtId="2" fontId="1" fillId="0" borderId="49" xfId="0" applyNumberFormat="1" applyFont="1" applyFill="1" applyBorder="1" applyAlignment="1" applyProtection="1">
      <alignment horizontal="center" vertical="center"/>
      <protection/>
    </xf>
    <xf numFmtId="2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2" fontId="1" fillId="0" borderId="74" xfId="0" applyNumberFormat="1" applyFont="1" applyFill="1" applyBorder="1" applyAlignment="1" applyProtection="1">
      <alignment horizontal="center" vertical="center"/>
      <protection/>
    </xf>
    <xf numFmtId="2" fontId="1" fillId="0" borderId="40" xfId="0" applyNumberFormat="1" applyFont="1" applyFill="1" applyBorder="1" applyAlignment="1" applyProtection="1">
      <alignment horizontal="center" vertical="center"/>
      <protection/>
    </xf>
    <xf numFmtId="2" fontId="1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/>
      <protection/>
    </xf>
    <xf numFmtId="0" fontId="8" fillId="0" borderId="75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49" fontId="17" fillId="37" borderId="14" xfId="0" applyNumberFormat="1" applyFont="1" applyFill="1" applyBorder="1" applyAlignment="1" applyProtection="1">
      <alignment horizontal="center" vertical="center"/>
      <protection/>
    </xf>
    <xf numFmtId="49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1" fillId="34" borderId="77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5" fillId="37" borderId="32" xfId="0" applyFont="1" applyFill="1" applyBorder="1" applyAlignment="1" applyProtection="1">
      <alignment horizontal="center" vertical="center"/>
      <protection/>
    </xf>
    <xf numFmtId="0" fontId="5" fillId="37" borderId="78" xfId="0" applyFont="1" applyFill="1" applyBorder="1" applyAlignment="1" applyProtection="1">
      <alignment horizontal="center" vertical="center"/>
      <protection/>
    </xf>
    <xf numFmtId="0" fontId="0" fillId="37" borderId="42" xfId="0" applyFill="1" applyBorder="1" applyAlignment="1">
      <alignment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76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78" xfId="0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3" fillId="36" borderId="4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6" fillId="35" borderId="76" xfId="0" applyNumberFormat="1" applyFont="1" applyFill="1" applyBorder="1" applyAlignment="1" applyProtection="1">
      <alignment horizontal="center" vertical="center"/>
      <protection locked="0"/>
    </xf>
    <xf numFmtId="49" fontId="6" fillId="35" borderId="18" xfId="0" applyNumberFormat="1" applyFont="1" applyFill="1" applyBorder="1" applyAlignment="1" applyProtection="1">
      <alignment horizontal="center" vertical="center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/>
    </xf>
    <xf numFmtId="49" fontId="6" fillId="34" borderId="4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G103"/>
  <sheetViews>
    <sheetView showGridLines="0" tabSelected="1" zoomScalePageLayoutView="0" workbookViewId="0" topLeftCell="A14">
      <selection activeCell="C8" sqref="C8"/>
    </sheetView>
  </sheetViews>
  <sheetFormatPr defaultColWidth="9.625" defaultRowHeight="12.75"/>
  <cols>
    <col min="1" max="1" width="2.875" style="119" customWidth="1"/>
    <col min="2" max="2" width="13.625" style="119" customWidth="1"/>
    <col min="3" max="3" width="12.75390625" style="119" customWidth="1"/>
    <col min="4" max="4" width="5.75390625" style="119" customWidth="1"/>
    <col min="5" max="11" width="8.75390625" style="119" customWidth="1"/>
    <col min="12" max="12" width="8.50390625" style="119" customWidth="1"/>
    <col min="13" max="18" width="8.75390625" style="119" customWidth="1"/>
    <col min="19" max="16384" width="9.625" style="119" customWidth="1"/>
  </cols>
  <sheetData>
    <row r="1" spans="1:145" ht="13.5" thickTop="1">
      <c r="A1" s="182"/>
      <c r="B1" s="40" t="s">
        <v>15</v>
      </c>
      <c r="C1" s="35"/>
      <c r="D1" s="35"/>
      <c r="E1" s="35"/>
      <c r="F1" s="35"/>
      <c r="G1" s="39"/>
      <c r="H1" s="137"/>
      <c r="I1" s="137"/>
      <c r="J1" s="137"/>
      <c r="K1" s="137"/>
      <c r="L1" s="137"/>
      <c r="M1" s="137"/>
      <c r="N1" s="137" t="s">
        <v>91</v>
      </c>
      <c r="O1" s="137"/>
      <c r="P1" s="1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</row>
    <row r="2" spans="1:145" ht="12.75">
      <c r="A2" s="120"/>
      <c r="B2" s="183" t="str">
        <f>IF(MAX(G5,G7)&lt;2.5,"FOR  r = c = 2  see Worksheet 'Double Dichotomy'.","  ")</f>
        <v>  </v>
      </c>
      <c r="C2" s="94"/>
      <c r="D2" s="94"/>
      <c r="E2" s="33"/>
      <c r="F2" s="33"/>
      <c r="G2" s="33"/>
      <c r="H2" s="121"/>
      <c r="I2" s="121"/>
      <c r="J2" s="121"/>
      <c r="K2" s="121"/>
      <c r="L2" s="34"/>
      <c r="M2" s="34"/>
      <c r="N2" s="34"/>
      <c r="O2" s="34"/>
      <c r="P2" s="1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4.25" thickBot="1">
      <c r="A3" s="120"/>
      <c r="B3" s="184"/>
      <c r="C3" s="94"/>
      <c r="D3" s="94"/>
      <c r="E3" s="33"/>
      <c r="F3" s="33"/>
      <c r="G3" s="33"/>
      <c r="H3" s="121"/>
      <c r="I3" s="185" t="s">
        <v>41</v>
      </c>
      <c r="J3" s="121"/>
      <c r="K3" s="34"/>
      <c r="L3" s="34"/>
      <c r="M3" s="34"/>
      <c r="N3" s="34"/>
      <c r="P3" s="1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</row>
    <row r="4" spans="1:145" ht="13.5" thickBot="1">
      <c r="A4" s="120"/>
      <c r="B4" s="20" t="s">
        <v>6</v>
      </c>
      <c r="C4" s="186"/>
      <c r="D4" s="186"/>
      <c r="E4" s="227" t="s">
        <v>11</v>
      </c>
      <c r="F4" s="228"/>
      <c r="G4" s="229"/>
      <c r="H4" s="121"/>
      <c r="I4" s="100" t="s">
        <v>92</v>
      </c>
      <c r="J4" s="187"/>
      <c r="K4" s="187"/>
      <c r="L4" s="187"/>
      <c r="M4" s="97">
        <f>IF(D36&gt;2,SQRT(M5),"")</f>
        <v>0.5969577436021839</v>
      </c>
      <c r="P4" s="1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</row>
    <row r="5" spans="1:145" s="192" customFormat="1" ht="13.5" thickBot="1">
      <c r="A5" s="188"/>
      <c r="B5" s="13" t="s">
        <v>8</v>
      </c>
      <c r="C5" s="189"/>
      <c r="D5" s="189"/>
      <c r="E5" s="22"/>
      <c r="F5" s="190" t="s">
        <v>9</v>
      </c>
      <c r="G5" s="23">
        <v>3</v>
      </c>
      <c r="H5" s="191" t="s">
        <v>38</v>
      </c>
      <c r="I5" s="101" t="s">
        <v>94</v>
      </c>
      <c r="J5" s="34"/>
      <c r="K5" s="34"/>
      <c r="L5" s="34"/>
      <c r="M5" s="98">
        <f>IF(D36&gt;2,F13/D36,"   ")</f>
        <v>0.3563585476466107</v>
      </c>
      <c r="P5" s="193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</row>
    <row r="6" spans="1:145" ht="13.5" thickBot="1">
      <c r="A6" s="120"/>
      <c r="B6" s="20" t="s">
        <v>7</v>
      </c>
      <c r="C6" s="186"/>
      <c r="D6" s="186"/>
      <c r="E6" s="227" t="s">
        <v>4</v>
      </c>
      <c r="F6" s="228"/>
      <c r="G6" s="229"/>
      <c r="H6" s="185"/>
      <c r="I6" s="101" t="s">
        <v>93</v>
      </c>
      <c r="J6" s="34"/>
      <c r="K6" s="34"/>
      <c r="L6" s="34"/>
      <c r="M6" s="98">
        <f>IF(D36&gt;2,SQRT(F13/(F13+D36)),"")</f>
        <v>0.5125737199813383</v>
      </c>
      <c r="P6" s="12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</row>
    <row r="7" spans="1:145" ht="12.75">
      <c r="A7" s="120"/>
      <c r="B7" s="93" t="s">
        <v>10</v>
      </c>
      <c r="C7" s="121"/>
      <c r="D7" s="121"/>
      <c r="E7" s="24"/>
      <c r="F7" s="194" t="s">
        <v>9</v>
      </c>
      <c r="G7" s="103">
        <v>2</v>
      </c>
      <c r="H7" s="185" t="s">
        <v>39</v>
      </c>
      <c r="I7" s="101" t="s">
        <v>95</v>
      </c>
      <c r="J7" s="34"/>
      <c r="K7" s="34"/>
      <c r="L7" s="34"/>
      <c r="M7" s="98">
        <f>IF(AND(D36&gt;1,G8&gt;1.5),SQRT(M5/G8),"")</f>
        <v>0.42211286858292457</v>
      </c>
      <c r="P7" s="1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ht="12.75">
      <c r="A8" s="105"/>
      <c r="B8" s="18"/>
      <c r="C8" s="18"/>
      <c r="D8" s="18"/>
      <c r="E8" s="33"/>
      <c r="F8" s="104" t="s">
        <v>43</v>
      </c>
      <c r="G8" s="195">
        <f>MIN(G5,G7)</f>
        <v>2</v>
      </c>
      <c r="H8" s="34"/>
      <c r="I8" s="101" t="s">
        <v>96</v>
      </c>
      <c r="J8" s="34"/>
      <c r="K8" s="34"/>
      <c r="L8" s="34"/>
      <c r="M8" s="98">
        <f>IF(AND(D36&gt;1,G8&gt;1.5),M5/G8,"")</f>
        <v>0.17817927382330534</v>
      </c>
      <c r="P8" s="1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</row>
    <row r="9" spans="1:145" ht="12.75">
      <c r="A9" s="105"/>
      <c r="B9" s="18"/>
      <c r="C9" s="18"/>
      <c r="D9" s="18"/>
      <c r="E9" s="33"/>
      <c r="F9" s="34"/>
      <c r="G9" s="34"/>
      <c r="H9" s="34"/>
      <c r="I9" s="101" t="s">
        <v>97</v>
      </c>
      <c r="J9" s="34"/>
      <c r="K9" s="34"/>
      <c r="L9" s="34"/>
      <c r="M9" s="98">
        <f>IF(AND(D35&gt;2,G5&gt;1.5,G7&gt;1.5),SQRT(M10),"")</f>
        <v>0.5019796266530224</v>
      </c>
      <c r="P9" s="12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13.5" thickBot="1">
      <c r="A10" s="105"/>
      <c r="B10" s="18"/>
      <c r="C10" s="18"/>
      <c r="D10" s="18"/>
      <c r="E10" s="33"/>
      <c r="F10" s="34"/>
      <c r="G10" s="34"/>
      <c r="H10" s="34"/>
      <c r="I10" s="102" t="s">
        <v>98</v>
      </c>
      <c r="J10" s="196"/>
      <c r="K10" s="196"/>
      <c r="L10" s="196"/>
      <c r="M10" s="99">
        <f>IF(AND(D$35&gt;2,G5&gt;1.5,G7&gt;1.5),M5/(SQRT((G5-1)*(G7-1))),"")</f>
        <v>0.2519835455747078</v>
      </c>
      <c r="P10" s="12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</row>
    <row r="11" spans="1:145" ht="15.75" thickBot="1">
      <c r="A11" s="105"/>
      <c r="B11" s="18"/>
      <c r="C11" s="18"/>
      <c r="D11" s="34"/>
      <c r="E11" s="61" t="s">
        <v>26</v>
      </c>
      <c r="F11" s="62" t="str">
        <f>IF(C72&gt;0,"+",IF(C72&lt;0,"-",""))</f>
        <v>+</v>
      </c>
      <c r="G11" s="34"/>
      <c r="H11" s="34"/>
      <c r="O11" s="121"/>
      <c r="P11" s="12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</row>
    <row r="12" spans="1:145" ht="12.75">
      <c r="A12" s="105"/>
      <c r="B12" s="18"/>
      <c r="C12" s="18"/>
      <c r="D12" s="34"/>
      <c r="E12" s="13"/>
      <c r="F12" s="41" t="s">
        <v>40</v>
      </c>
      <c r="G12" s="7"/>
      <c r="H12" s="34"/>
      <c r="I12" s="34"/>
      <c r="J12" s="240"/>
      <c r="K12" s="240"/>
      <c r="L12" s="240"/>
      <c r="M12" s="240"/>
      <c r="N12" s="240"/>
      <c r="O12" s="240"/>
      <c r="P12" s="12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ht="12.75">
      <c r="A13" s="105"/>
      <c r="B13" s="18"/>
      <c r="C13" s="18"/>
      <c r="D13" s="197"/>
      <c r="E13" s="14" t="s">
        <v>3</v>
      </c>
      <c r="F13" s="8">
        <f>SUM(E67:P78)</f>
        <v>3.2072269288194963</v>
      </c>
      <c r="G13" s="15" t="s">
        <v>42</v>
      </c>
      <c r="H13" s="198">
        <f>D36*G8</f>
        <v>18</v>
      </c>
      <c r="I13" s="34"/>
      <c r="J13" s="34"/>
      <c r="K13" s="34"/>
      <c r="L13" s="34"/>
      <c r="M13" s="34"/>
      <c r="N13" s="34"/>
      <c r="O13" s="34"/>
      <c r="P13" s="12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13.5" thickBot="1">
      <c r="A14" s="105"/>
      <c r="B14" s="18"/>
      <c r="C14" s="18"/>
      <c r="D14" s="34"/>
      <c r="E14" s="36" t="s">
        <v>14</v>
      </c>
      <c r="F14" s="37">
        <f>(G5-1)*(G7-1)</f>
        <v>2</v>
      </c>
      <c r="G14" s="17"/>
      <c r="H14" s="34"/>
      <c r="I14" s="34"/>
      <c r="J14" s="34"/>
      <c r="K14" s="34"/>
      <c r="L14" s="34"/>
      <c r="M14" s="34"/>
      <c r="N14" s="34"/>
      <c r="O14" s="34"/>
      <c r="P14" s="12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</row>
    <row r="15" spans="1:145" ht="13.5" thickBot="1">
      <c r="A15" s="105"/>
      <c r="B15" s="18"/>
      <c r="C15" s="18"/>
      <c r="D15" s="34"/>
      <c r="E15" s="15" t="s">
        <v>1</v>
      </c>
      <c r="F15" s="10">
        <f>IF(CHIDIST(F13,F14)&lt;0.001,"     ",CHIDIST(F13,F14))</f>
        <v>0.20116828862027453</v>
      </c>
      <c r="G15" s="11" t="str">
        <f>IF(CHIDIST(F13,F14)&lt;0.001,CHIDIST(F13,F14),"    ")</f>
        <v>    </v>
      </c>
      <c r="H15" s="34"/>
      <c r="I15" s="34"/>
      <c r="J15" s="34"/>
      <c r="K15" s="34"/>
      <c r="L15" s="34"/>
      <c r="M15" s="34"/>
      <c r="N15" s="34"/>
      <c r="O15" s="34"/>
      <c r="P15" s="12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13.5" thickBot="1">
      <c r="A16" s="105"/>
      <c r="B16" s="18"/>
      <c r="C16" s="18"/>
      <c r="D16" s="18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2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</row>
    <row r="17" spans="1:145" ht="13.5" thickBot="1">
      <c r="A17" s="105"/>
      <c r="B17" s="18"/>
      <c r="C17" s="18"/>
      <c r="D17" s="18"/>
      <c r="E17" s="235" t="str">
        <f>E6</f>
        <v>happiness</v>
      </c>
      <c r="F17" s="236"/>
      <c r="G17" s="237"/>
      <c r="H17" s="34"/>
      <c r="I17" s="34"/>
      <c r="J17" s="34"/>
      <c r="K17" s="34"/>
      <c r="L17" s="34"/>
      <c r="M17" s="34"/>
      <c r="N17" s="34"/>
      <c r="O17" s="34"/>
      <c r="P17" s="1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</row>
    <row r="18" spans="1:145" ht="14.25" thickBot="1">
      <c r="A18" s="199"/>
      <c r="B18" s="232" t="s">
        <v>5</v>
      </c>
      <c r="C18" s="233"/>
      <c r="D18" s="234"/>
      <c r="E18" s="200">
        <v>1</v>
      </c>
      <c r="F18" s="88">
        <v>2</v>
      </c>
      <c r="G18" s="201">
        <f aca="true" t="shared" si="0" ref="G18:Q18">IF(F18&gt;$G$7-0.5,"",F18+1)</f>
      </c>
      <c r="H18" s="201">
        <f t="shared" si="0"/>
      </c>
      <c r="I18" s="201">
        <f t="shared" si="0"/>
      </c>
      <c r="J18" s="201">
        <f t="shared" si="0"/>
      </c>
      <c r="K18" s="201">
        <f t="shared" si="0"/>
      </c>
      <c r="L18" s="201">
        <f t="shared" si="0"/>
      </c>
      <c r="M18" s="201">
        <f t="shared" si="0"/>
      </c>
      <c r="N18" s="201">
        <f t="shared" si="0"/>
      </c>
      <c r="O18" s="201">
        <f t="shared" si="0"/>
      </c>
      <c r="P18" s="156">
        <f t="shared" si="0"/>
      </c>
      <c r="Q18" s="202">
        <f t="shared" si="0"/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</row>
    <row r="19" spans="1:145" ht="14.25" thickBot="1">
      <c r="A19" s="199"/>
      <c r="B19" s="230" t="str">
        <f>E4</f>
        <v>nationality</v>
      </c>
      <c r="C19" s="231"/>
      <c r="D19" s="223"/>
      <c r="E19" s="95" t="s">
        <v>46</v>
      </c>
      <c r="F19" s="96" t="s">
        <v>21</v>
      </c>
      <c r="G19" s="96"/>
      <c r="H19" s="96"/>
      <c r="I19" s="96"/>
      <c r="J19" s="96"/>
      <c r="K19" s="96"/>
      <c r="L19" s="96"/>
      <c r="M19" s="96"/>
      <c r="N19" s="96"/>
      <c r="O19" s="96"/>
      <c r="P19" s="10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</row>
    <row r="20" spans="1:145" ht="13.5">
      <c r="A20" s="120"/>
      <c r="B20" s="238" t="s">
        <v>44</v>
      </c>
      <c r="C20" s="239"/>
      <c r="D20" s="224">
        <v>1</v>
      </c>
      <c r="E20" s="26">
        <v>2</v>
      </c>
      <c r="F20" s="27">
        <v>2</v>
      </c>
      <c r="G20" s="27"/>
      <c r="H20" s="27"/>
      <c r="I20" s="27"/>
      <c r="J20" s="27"/>
      <c r="K20" s="27"/>
      <c r="L20" s="27"/>
      <c r="M20" s="27"/>
      <c r="N20" s="27"/>
      <c r="O20" s="27"/>
      <c r="P20" s="10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</row>
    <row r="21" spans="1:145" ht="13.5">
      <c r="A21" s="120"/>
      <c r="B21" s="238" t="s">
        <v>45</v>
      </c>
      <c r="C21" s="239"/>
      <c r="D21" s="224">
        <v>2</v>
      </c>
      <c r="E21" s="28">
        <v>0</v>
      </c>
      <c r="F21" s="29">
        <v>3</v>
      </c>
      <c r="G21" s="29"/>
      <c r="H21" s="29"/>
      <c r="I21" s="29"/>
      <c r="J21" s="29"/>
      <c r="K21" s="29"/>
      <c r="L21" s="29"/>
      <c r="M21" s="29"/>
      <c r="N21" s="29"/>
      <c r="O21" s="29"/>
      <c r="P21" s="10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</row>
    <row r="22" spans="1:145" ht="13.5">
      <c r="A22" s="120"/>
      <c r="B22" s="238"/>
      <c r="C22" s="239"/>
      <c r="D22" s="224">
        <f aca="true" t="shared" si="1" ref="D22:D31">IF(D21&gt;$G$5-0.5,"",D21+1)</f>
        <v>3</v>
      </c>
      <c r="E22" s="28">
        <v>0</v>
      </c>
      <c r="F22" s="29">
        <v>2</v>
      </c>
      <c r="G22" s="29"/>
      <c r="H22" s="29"/>
      <c r="I22" s="29"/>
      <c r="J22" s="29"/>
      <c r="K22" s="29"/>
      <c r="L22" s="29"/>
      <c r="M22" s="29"/>
      <c r="N22" s="29"/>
      <c r="O22" s="29"/>
      <c r="P22" s="10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</row>
    <row r="23" spans="1:145" ht="13.5">
      <c r="A23" s="120"/>
      <c r="B23" s="238"/>
      <c r="C23" s="239"/>
      <c r="D23" s="224">
        <f t="shared" si="1"/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0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</row>
    <row r="24" spans="1:145" ht="13.5">
      <c r="A24" s="120"/>
      <c r="B24" s="238"/>
      <c r="C24" s="239"/>
      <c r="D24" s="224">
        <f t="shared" si="1"/>
      </c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0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</row>
    <row r="25" spans="1:145" ht="13.5">
      <c r="A25" s="120"/>
      <c r="B25" s="238"/>
      <c r="C25" s="239"/>
      <c r="D25" s="224">
        <f t="shared" si="1"/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0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</row>
    <row r="26" spans="1:145" ht="13.5">
      <c r="A26" s="120"/>
      <c r="B26" s="238"/>
      <c r="C26" s="239"/>
      <c r="D26" s="224">
        <f t="shared" si="1"/>
      </c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0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ht="13.5">
      <c r="A27" s="120"/>
      <c r="B27" s="238"/>
      <c r="C27" s="239"/>
      <c r="D27" s="224">
        <f t="shared" si="1"/>
      </c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0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13.5">
      <c r="A28" s="120"/>
      <c r="B28" s="238"/>
      <c r="C28" s="239"/>
      <c r="D28" s="224">
        <f t="shared" si="1"/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0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</row>
    <row r="29" spans="1:145" ht="13.5">
      <c r="A29" s="120"/>
      <c r="B29" s="238"/>
      <c r="C29" s="239"/>
      <c r="D29" s="224">
        <f t="shared" si="1"/>
      </c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0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13.5">
      <c r="A30" s="120"/>
      <c r="B30" s="238"/>
      <c r="C30" s="239"/>
      <c r="D30" s="224">
        <f t="shared" si="1"/>
      </c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0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</row>
    <row r="31" spans="1:145" ht="14.25" thickBot="1">
      <c r="A31" s="120"/>
      <c r="B31" s="238"/>
      <c r="C31" s="239"/>
      <c r="D31" s="224">
        <f t="shared" si="1"/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</row>
    <row r="32" spans="1:145" ht="13.5" thickBot="1">
      <c r="A32" s="203"/>
      <c r="B32" s="174"/>
      <c r="C32" s="174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</row>
    <row r="33" spans="1:145" ht="13.5" thickTop="1">
      <c r="A33" s="204"/>
      <c r="B33" s="178"/>
      <c r="C33" s="178"/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</row>
    <row r="34" spans="1:145" ht="12.75">
      <c r="A34" s="205"/>
      <c r="B34" s="242" t="s">
        <v>83</v>
      </c>
      <c r="C34" s="243"/>
      <c r="D34" s="3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1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</row>
    <row r="35" spans="1:145" ht="12.75">
      <c r="A35" s="205"/>
      <c r="B35" s="21"/>
      <c r="C35" s="21"/>
      <c r="D35" s="79" t="s">
        <v>0</v>
      </c>
      <c r="E35" s="206">
        <v>1</v>
      </c>
      <c r="F35" s="206">
        <v>2</v>
      </c>
      <c r="G35" s="201">
        <f aca="true" t="shared" si="2" ref="G35:P35">IF(F35&gt;$G$7-0.5,"",F35+1)</f>
      </c>
      <c r="H35" s="201">
        <f t="shared" si="2"/>
      </c>
      <c r="I35" s="201">
        <f t="shared" si="2"/>
      </c>
      <c r="J35" s="201">
        <f t="shared" si="2"/>
      </c>
      <c r="K35" s="201">
        <f t="shared" si="2"/>
      </c>
      <c r="L35" s="201">
        <f t="shared" si="2"/>
      </c>
      <c r="M35" s="201">
        <f t="shared" si="2"/>
      </c>
      <c r="N35" s="201">
        <f t="shared" si="2"/>
      </c>
      <c r="O35" s="201">
        <f t="shared" si="2"/>
      </c>
      <c r="P35" s="156">
        <f t="shared" si="2"/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1:145" ht="14.25" thickBot="1">
      <c r="A36" s="199"/>
      <c r="B36" s="232" t="s">
        <v>13</v>
      </c>
      <c r="C36" s="241"/>
      <c r="D36" s="77">
        <f>IF(ABS(SUM(E36:P36)-SUM(D37:D48))&lt;0.1,ROUND(SUM(D37:D48),0),"ERROR")</f>
        <v>9</v>
      </c>
      <c r="E36" s="78">
        <f aca="true" t="shared" si="3" ref="E36:P36">SUM(E37:E48)</f>
        <v>2.002</v>
      </c>
      <c r="F36" s="77">
        <f t="shared" si="3"/>
        <v>7</v>
      </c>
      <c r="G36" s="77">
        <f t="shared" si="3"/>
        <v>0</v>
      </c>
      <c r="H36" s="77">
        <f t="shared" si="3"/>
        <v>0</v>
      </c>
      <c r="I36" s="77">
        <f t="shared" si="3"/>
        <v>0</v>
      </c>
      <c r="J36" s="77">
        <f t="shared" si="3"/>
        <v>0</v>
      </c>
      <c r="K36" s="77">
        <f t="shared" si="3"/>
        <v>0</v>
      </c>
      <c r="L36" s="77">
        <f t="shared" si="3"/>
        <v>0</v>
      </c>
      <c r="M36" s="77">
        <f t="shared" si="3"/>
        <v>0</v>
      </c>
      <c r="N36" s="77">
        <f t="shared" si="3"/>
        <v>0</v>
      </c>
      <c r="O36" s="77">
        <f t="shared" si="3"/>
        <v>0</v>
      </c>
      <c r="P36" s="111">
        <f t="shared" si="3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</row>
    <row r="37" spans="1:145" ht="13.5">
      <c r="A37" s="120"/>
      <c r="B37" s="207"/>
      <c r="C37" s="208">
        <v>1</v>
      </c>
      <c r="D37" s="80">
        <f aca="true" t="shared" si="4" ref="D37:D48">SUM(E37:P37)</f>
        <v>4</v>
      </c>
      <c r="E37" s="85">
        <f aca="true" t="shared" si="5" ref="E37:P37">IF(AND(E$18&lt;$G$7+0.1,$D20&lt;$G$5+0.1),E20,0)</f>
        <v>2</v>
      </c>
      <c r="F37" s="86">
        <f t="shared" si="5"/>
        <v>2</v>
      </c>
      <c r="G37" s="86">
        <f t="shared" si="5"/>
        <v>0</v>
      </c>
      <c r="H37" s="86">
        <f t="shared" si="5"/>
        <v>0</v>
      </c>
      <c r="I37" s="86">
        <f t="shared" si="5"/>
        <v>0</v>
      </c>
      <c r="J37" s="86">
        <f t="shared" si="5"/>
        <v>0</v>
      </c>
      <c r="K37" s="86">
        <f t="shared" si="5"/>
        <v>0</v>
      </c>
      <c r="L37" s="86">
        <f t="shared" si="5"/>
        <v>0</v>
      </c>
      <c r="M37" s="86">
        <f t="shared" si="5"/>
        <v>0</v>
      </c>
      <c r="N37" s="86">
        <f t="shared" si="5"/>
        <v>0</v>
      </c>
      <c r="O37" s="86">
        <f t="shared" si="5"/>
        <v>0</v>
      </c>
      <c r="P37" s="112">
        <f t="shared" si="5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</row>
    <row r="38" spans="1:145" ht="13.5">
      <c r="A38" s="120"/>
      <c r="B38" s="207"/>
      <c r="C38" s="208">
        <v>2</v>
      </c>
      <c r="D38" s="80">
        <f t="shared" si="4"/>
        <v>3.002</v>
      </c>
      <c r="E38" s="87">
        <f>IF(AND(E$18&lt;$G$7+0.1,$D21&lt;$G$5+0.1),E21+0.002,0)</f>
        <v>0.002</v>
      </c>
      <c r="F38" s="88">
        <f aca="true" t="shared" si="6" ref="F38:P38">IF(AND(F$18&lt;$G$7+0.1,$D21&lt;$G$5+0.1),F21,0)</f>
        <v>3</v>
      </c>
      <c r="G38" s="88">
        <f t="shared" si="6"/>
        <v>0</v>
      </c>
      <c r="H38" s="88">
        <f t="shared" si="6"/>
        <v>0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8">
        <f t="shared" si="6"/>
        <v>0</v>
      </c>
      <c r="P38" s="113">
        <f t="shared" si="6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</row>
    <row r="39" spans="1:145" ht="13.5">
      <c r="A39" s="120"/>
      <c r="B39" s="207"/>
      <c r="C39" s="208">
        <f aca="true" t="shared" si="7" ref="C39:C48">IF(C38&gt;$G$5-0.5,"  ",C38+1)</f>
        <v>3</v>
      </c>
      <c r="D39" s="80">
        <f t="shared" si="4"/>
        <v>2</v>
      </c>
      <c r="E39" s="87">
        <f aca="true" t="shared" si="8" ref="E39:P39">IF(AND(E$18&lt;$G$7+0.1,$D22&lt;$G$5+0.1),E22,0)</f>
        <v>0</v>
      </c>
      <c r="F39" s="88">
        <f t="shared" si="8"/>
        <v>2</v>
      </c>
      <c r="G39" s="88">
        <f t="shared" si="8"/>
        <v>0</v>
      </c>
      <c r="H39" s="88">
        <f t="shared" si="8"/>
        <v>0</v>
      </c>
      <c r="I39" s="88">
        <f t="shared" si="8"/>
        <v>0</v>
      </c>
      <c r="J39" s="88">
        <f t="shared" si="8"/>
        <v>0</v>
      </c>
      <c r="K39" s="88">
        <f t="shared" si="8"/>
        <v>0</v>
      </c>
      <c r="L39" s="88">
        <f t="shared" si="8"/>
        <v>0</v>
      </c>
      <c r="M39" s="88">
        <f t="shared" si="8"/>
        <v>0</v>
      </c>
      <c r="N39" s="88">
        <f t="shared" si="8"/>
        <v>0</v>
      </c>
      <c r="O39" s="88">
        <f t="shared" si="8"/>
        <v>0</v>
      </c>
      <c r="P39" s="113">
        <f t="shared" si="8"/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</row>
    <row r="40" spans="1:145" ht="13.5">
      <c r="A40" s="120"/>
      <c r="B40" s="207"/>
      <c r="C40" s="208" t="str">
        <f t="shared" si="7"/>
        <v>  </v>
      </c>
      <c r="D40" s="80">
        <f t="shared" si="4"/>
        <v>0</v>
      </c>
      <c r="E40" s="87">
        <f aca="true" t="shared" si="9" ref="E40:P40">IF(AND(E$18&lt;$G$7+0.1,$D23&lt;$G$5+0.1),E23,0)</f>
        <v>0</v>
      </c>
      <c r="F40" s="88">
        <f t="shared" si="9"/>
        <v>0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88">
        <f t="shared" si="9"/>
        <v>0</v>
      </c>
      <c r="P40" s="113">
        <f t="shared" si="9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ht="13.5">
      <c r="A41" s="120"/>
      <c r="B41" s="207"/>
      <c r="C41" s="208" t="str">
        <f t="shared" si="7"/>
        <v>  </v>
      </c>
      <c r="D41" s="80">
        <f t="shared" si="4"/>
        <v>0</v>
      </c>
      <c r="E41" s="87">
        <f aca="true" t="shared" si="10" ref="E41:P41">IF(AND(E$18&lt;$G$7+0.1,$D24&lt;$G$5+0.1),E24,0)</f>
        <v>0</v>
      </c>
      <c r="F41" s="88">
        <f t="shared" si="10"/>
        <v>0</v>
      </c>
      <c r="G41" s="88">
        <f t="shared" si="10"/>
        <v>0</v>
      </c>
      <c r="H41" s="88">
        <f t="shared" si="10"/>
        <v>0</v>
      </c>
      <c r="I41" s="88">
        <f t="shared" si="10"/>
        <v>0</v>
      </c>
      <c r="J41" s="88">
        <f t="shared" si="10"/>
        <v>0</v>
      </c>
      <c r="K41" s="88">
        <f t="shared" si="10"/>
        <v>0</v>
      </c>
      <c r="L41" s="88">
        <f t="shared" si="10"/>
        <v>0</v>
      </c>
      <c r="M41" s="88">
        <f t="shared" si="10"/>
        <v>0</v>
      </c>
      <c r="N41" s="88">
        <f t="shared" si="10"/>
        <v>0</v>
      </c>
      <c r="O41" s="88">
        <f t="shared" si="10"/>
        <v>0</v>
      </c>
      <c r="P41" s="113">
        <f t="shared" si="1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13.5">
      <c r="A42" s="120"/>
      <c r="B42" s="207"/>
      <c r="C42" s="208" t="str">
        <f t="shared" si="7"/>
        <v>  </v>
      </c>
      <c r="D42" s="80">
        <f t="shared" si="4"/>
        <v>0</v>
      </c>
      <c r="E42" s="87">
        <f aca="true" t="shared" si="11" ref="E42:P42">IF(AND(E$18&lt;$G$7+0.1,$D25&lt;$G$5+0.1),E25,0)</f>
        <v>0</v>
      </c>
      <c r="F42" s="88">
        <f t="shared" si="11"/>
        <v>0</v>
      </c>
      <c r="G42" s="88">
        <f t="shared" si="11"/>
        <v>0</v>
      </c>
      <c r="H42" s="88">
        <f t="shared" si="11"/>
        <v>0</v>
      </c>
      <c r="I42" s="88">
        <f t="shared" si="11"/>
        <v>0</v>
      </c>
      <c r="J42" s="88">
        <f t="shared" si="11"/>
        <v>0</v>
      </c>
      <c r="K42" s="88">
        <f t="shared" si="11"/>
        <v>0</v>
      </c>
      <c r="L42" s="88">
        <f t="shared" si="11"/>
        <v>0</v>
      </c>
      <c r="M42" s="88">
        <f t="shared" si="11"/>
        <v>0</v>
      </c>
      <c r="N42" s="88">
        <f t="shared" si="11"/>
        <v>0</v>
      </c>
      <c r="O42" s="88">
        <f t="shared" si="11"/>
        <v>0</v>
      </c>
      <c r="P42" s="113">
        <f t="shared" si="11"/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</row>
    <row r="43" spans="1:145" ht="13.5">
      <c r="A43" s="120"/>
      <c r="B43" s="207"/>
      <c r="C43" s="208" t="str">
        <f t="shared" si="7"/>
        <v>  </v>
      </c>
      <c r="D43" s="80">
        <f t="shared" si="4"/>
        <v>0</v>
      </c>
      <c r="E43" s="87">
        <f aca="true" t="shared" si="12" ref="E43:P43">IF(AND(E$18&lt;$G$7+0.1,$D26&lt;$G$5+0.1),E26,0)</f>
        <v>0</v>
      </c>
      <c r="F43" s="88">
        <f t="shared" si="12"/>
        <v>0</v>
      </c>
      <c r="G43" s="88">
        <f t="shared" si="12"/>
        <v>0</v>
      </c>
      <c r="H43" s="88">
        <f t="shared" si="12"/>
        <v>0</v>
      </c>
      <c r="I43" s="88">
        <f t="shared" si="12"/>
        <v>0</v>
      </c>
      <c r="J43" s="88">
        <f t="shared" si="12"/>
        <v>0</v>
      </c>
      <c r="K43" s="88">
        <f t="shared" si="12"/>
        <v>0</v>
      </c>
      <c r="L43" s="88">
        <f t="shared" si="12"/>
        <v>0</v>
      </c>
      <c r="M43" s="88">
        <f t="shared" si="12"/>
        <v>0</v>
      </c>
      <c r="N43" s="88">
        <f t="shared" si="12"/>
        <v>0</v>
      </c>
      <c r="O43" s="88">
        <f t="shared" si="12"/>
        <v>0</v>
      </c>
      <c r="P43" s="113">
        <f t="shared" si="12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13.5">
      <c r="A44" s="120"/>
      <c r="B44" s="207"/>
      <c r="C44" s="208" t="str">
        <f t="shared" si="7"/>
        <v>  </v>
      </c>
      <c r="D44" s="80">
        <f t="shared" si="4"/>
        <v>0</v>
      </c>
      <c r="E44" s="87">
        <f aca="true" t="shared" si="13" ref="E44:P44">IF(AND(E$18&lt;$G$7+0.1,$D27&lt;$G$5+0.1),E27,0)</f>
        <v>0</v>
      </c>
      <c r="F44" s="88">
        <f t="shared" si="13"/>
        <v>0</v>
      </c>
      <c r="G44" s="88">
        <f t="shared" si="13"/>
        <v>0</v>
      </c>
      <c r="H44" s="88">
        <f t="shared" si="13"/>
        <v>0</v>
      </c>
      <c r="I44" s="88">
        <f t="shared" si="13"/>
        <v>0</v>
      </c>
      <c r="J44" s="88">
        <f t="shared" si="13"/>
        <v>0</v>
      </c>
      <c r="K44" s="88">
        <f t="shared" si="13"/>
        <v>0</v>
      </c>
      <c r="L44" s="88">
        <f t="shared" si="13"/>
        <v>0</v>
      </c>
      <c r="M44" s="88">
        <f t="shared" si="13"/>
        <v>0</v>
      </c>
      <c r="N44" s="88">
        <f t="shared" si="13"/>
        <v>0</v>
      </c>
      <c r="O44" s="88">
        <f t="shared" si="13"/>
        <v>0</v>
      </c>
      <c r="P44" s="113">
        <f t="shared" si="13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</row>
    <row r="45" spans="1:145" ht="13.5">
      <c r="A45" s="120"/>
      <c r="B45" s="207"/>
      <c r="C45" s="208" t="str">
        <f t="shared" si="7"/>
        <v>  </v>
      </c>
      <c r="D45" s="80">
        <f t="shared" si="4"/>
        <v>0</v>
      </c>
      <c r="E45" s="87">
        <f aca="true" t="shared" si="14" ref="E45:P45">IF(AND(E$18&lt;$G$7+0.1,$D28&lt;$G$5+0.1),E28,0)</f>
        <v>0</v>
      </c>
      <c r="F45" s="88">
        <f t="shared" si="14"/>
        <v>0</v>
      </c>
      <c r="G45" s="88">
        <f t="shared" si="14"/>
        <v>0</v>
      </c>
      <c r="H45" s="88">
        <f t="shared" si="14"/>
        <v>0</v>
      </c>
      <c r="I45" s="88">
        <f t="shared" si="14"/>
        <v>0</v>
      </c>
      <c r="J45" s="88">
        <f t="shared" si="14"/>
        <v>0</v>
      </c>
      <c r="K45" s="88">
        <f t="shared" si="14"/>
        <v>0</v>
      </c>
      <c r="L45" s="88">
        <f t="shared" si="14"/>
        <v>0</v>
      </c>
      <c r="M45" s="88">
        <f t="shared" si="14"/>
        <v>0</v>
      </c>
      <c r="N45" s="88">
        <f t="shared" si="14"/>
        <v>0</v>
      </c>
      <c r="O45" s="88">
        <f t="shared" si="14"/>
        <v>0</v>
      </c>
      <c r="P45" s="113">
        <f t="shared" si="14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</row>
    <row r="46" spans="1:145" ht="13.5">
      <c r="A46" s="120"/>
      <c r="B46" s="207"/>
      <c r="C46" s="208" t="str">
        <f t="shared" si="7"/>
        <v>  </v>
      </c>
      <c r="D46" s="80">
        <f t="shared" si="4"/>
        <v>0</v>
      </c>
      <c r="E46" s="87">
        <f aca="true" t="shared" si="15" ref="E46:P46">IF(AND(E$18&lt;$G$7+0.1,$D29&lt;$G$5+0.1),E29,0)</f>
        <v>0</v>
      </c>
      <c r="F46" s="88">
        <f t="shared" si="15"/>
        <v>0</v>
      </c>
      <c r="G46" s="88">
        <f t="shared" si="15"/>
        <v>0</v>
      </c>
      <c r="H46" s="88">
        <f t="shared" si="15"/>
        <v>0</v>
      </c>
      <c r="I46" s="88">
        <f t="shared" si="15"/>
        <v>0</v>
      </c>
      <c r="J46" s="88">
        <f t="shared" si="15"/>
        <v>0</v>
      </c>
      <c r="K46" s="88">
        <f t="shared" si="15"/>
        <v>0</v>
      </c>
      <c r="L46" s="88">
        <f t="shared" si="15"/>
        <v>0</v>
      </c>
      <c r="M46" s="88">
        <f t="shared" si="15"/>
        <v>0</v>
      </c>
      <c r="N46" s="88">
        <f t="shared" si="15"/>
        <v>0</v>
      </c>
      <c r="O46" s="88">
        <f t="shared" si="15"/>
        <v>0</v>
      </c>
      <c r="P46" s="113">
        <f t="shared" si="15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</row>
    <row r="47" spans="1:145" ht="13.5">
      <c r="A47" s="120"/>
      <c r="B47" s="207"/>
      <c r="C47" s="208" t="str">
        <f t="shared" si="7"/>
        <v>  </v>
      </c>
      <c r="D47" s="80">
        <f t="shared" si="4"/>
        <v>0</v>
      </c>
      <c r="E47" s="87">
        <f aca="true" t="shared" si="16" ref="E47:P47">IF(AND(E$18&lt;$G$7+0.1,$D30&lt;$G$5+0.1),E30,0)</f>
        <v>0</v>
      </c>
      <c r="F47" s="88">
        <f t="shared" si="16"/>
        <v>0</v>
      </c>
      <c r="G47" s="88">
        <f t="shared" si="16"/>
        <v>0</v>
      </c>
      <c r="H47" s="88">
        <f t="shared" si="16"/>
        <v>0</v>
      </c>
      <c r="I47" s="88">
        <f t="shared" si="16"/>
        <v>0</v>
      </c>
      <c r="J47" s="88">
        <f t="shared" si="16"/>
        <v>0</v>
      </c>
      <c r="K47" s="88">
        <f t="shared" si="16"/>
        <v>0</v>
      </c>
      <c r="L47" s="88">
        <f t="shared" si="16"/>
        <v>0</v>
      </c>
      <c r="M47" s="88">
        <f t="shared" si="16"/>
        <v>0</v>
      </c>
      <c r="N47" s="88">
        <f t="shared" si="16"/>
        <v>0</v>
      </c>
      <c r="O47" s="88">
        <f t="shared" si="16"/>
        <v>0</v>
      </c>
      <c r="P47" s="113">
        <f t="shared" si="16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</row>
    <row r="48" spans="1:145" ht="14.25" thickBot="1">
      <c r="A48" s="120"/>
      <c r="B48" s="207"/>
      <c r="C48" s="208" t="str">
        <f t="shared" si="7"/>
        <v>  </v>
      </c>
      <c r="D48" s="80">
        <f t="shared" si="4"/>
        <v>0</v>
      </c>
      <c r="E48" s="89">
        <f aca="true" t="shared" si="17" ref="E48:P48">IF(AND(E$18&lt;$G$7+0.1,$D31&lt;$G$5+0.1),E31,0)</f>
        <v>0</v>
      </c>
      <c r="F48" s="90">
        <f t="shared" si="17"/>
        <v>0</v>
      </c>
      <c r="G48" s="90">
        <f t="shared" si="17"/>
        <v>0</v>
      </c>
      <c r="H48" s="90">
        <f t="shared" si="17"/>
        <v>0</v>
      </c>
      <c r="I48" s="90">
        <f t="shared" si="17"/>
        <v>0</v>
      </c>
      <c r="J48" s="90">
        <f t="shared" si="17"/>
        <v>0</v>
      </c>
      <c r="K48" s="90">
        <f t="shared" si="17"/>
        <v>0</v>
      </c>
      <c r="L48" s="90">
        <f t="shared" si="17"/>
        <v>0</v>
      </c>
      <c r="M48" s="90">
        <f t="shared" si="17"/>
        <v>0</v>
      </c>
      <c r="N48" s="90">
        <f t="shared" si="17"/>
        <v>0</v>
      </c>
      <c r="O48" s="90">
        <f t="shared" si="17"/>
        <v>0</v>
      </c>
      <c r="P48" s="114">
        <f t="shared" si="17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</row>
    <row r="49" spans="1:145" ht="13.5" thickBot="1">
      <c r="A49" s="205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</row>
    <row r="50" spans="1:145" ht="14.25" thickBot="1">
      <c r="A50" s="199"/>
      <c r="B50" s="121"/>
      <c r="C50" s="121"/>
      <c r="D50" s="81" t="s">
        <v>0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</row>
    <row r="51" spans="1:145" ht="14.25" thickBot="1">
      <c r="A51" s="199"/>
      <c r="B51" s="232" t="s">
        <v>12</v>
      </c>
      <c r="C51" s="233"/>
      <c r="D51" s="82">
        <f>IF(ABS(SUM(E51:P51)-SUM(D52:D63))&lt;0.1,ROUND(SUM(D52:D63),0),"ERROR")</f>
        <v>9</v>
      </c>
      <c r="E51" s="91">
        <f aca="true" t="shared" si="18" ref="E51:P51">SUM(E52:E63)</f>
        <v>2.0024448888888884</v>
      </c>
      <c r="F51" s="92">
        <f t="shared" si="18"/>
        <v>7.001555555555555</v>
      </c>
      <c r="G51" s="92">
        <f t="shared" si="18"/>
        <v>0</v>
      </c>
      <c r="H51" s="92">
        <f t="shared" si="18"/>
        <v>0</v>
      </c>
      <c r="I51" s="92">
        <f t="shared" si="18"/>
        <v>0</v>
      </c>
      <c r="J51" s="92">
        <f t="shared" si="18"/>
        <v>0</v>
      </c>
      <c r="K51" s="92">
        <f t="shared" si="18"/>
        <v>0</v>
      </c>
      <c r="L51" s="92">
        <f t="shared" si="18"/>
        <v>0</v>
      </c>
      <c r="M51" s="92">
        <f t="shared" si="18"/>
        <v>0</v>
      </c>
      <c r="N51" s="92">
        <f t="shared" si="18"/>
        <v>0</v>
      </c>
      <c r="O51" s="92">
        <f t="shared" si="18"/>
        <v>0</v>
      </c>
      <c r="P51" s="115">
        <f t="shared" si="18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</row>
    <row r="52" spans="1:145" ht="13.5">
      <c r="A52" s="120"/>
      <c r="B52" s="207"/>
      <c r="C52" s="208">
        <v>1</v>
      </c>
      <c r="D52" s="83">
        <f aca="true" t="shared" si="19" ref="D52:D63">SUM(E52:P52)</f>
        <v>4.0008888888888885</v>
      </c>
      <c r="E52" s="209">
        <f aca="true" t="shared" si="20" ref="E52:P52">IF(AND(E$18&lt;$G$7+0.1,$D20&lt;$G$5+0.1),E$36*$D37/$D$36,0)</f>
        <v>0.8897777777777777</v>
      </c>
      <c r="F52" s="210">
        <f t="shared" si="20"/>
        <v>3.111111111111111</v>
      </c>
      <c r="G52" s="210">
        <f t="shared" si="20"/>
        <v>0</v>
      </c>
      <c r="H52" s="210">
        <f t="shared" si="20"/>
        <v>0</v>
      </c>
      <c r="I52" s="210">
        <f t="shared" si="20"/>
        <v>0</v>
      </c>
      <c r="J52" s="210">
        <f t="shared" si="20"/>
        <v>0</v>
      </c>
      <c r="K52" s="210">
        <f t="shared" si="20"/>
        <v>0</v>
      </c>
      <c r="L52" s="210">
        <f t="shared" si="20"/>
        <v>0</v>
      </c>
      <c r="M52" s="210">
        <f t="shared" si="20"/>
        <v>0</v>
      </c>
      <c r="N52" s="210">
        <f t="shared" si="20"/>
        <v>0</v>
      </c>
      <c r="O52" s="210">
        <f t="shared" si="20"/>
        <v>0</v>
      </c>
      <c r="P52" s="211">
        <f t="shared" si="20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</row>
    <row r="53" spans="1:145" ht="13.5">
      <c r="A53" s="120"/>
      <c r="B53" s="207"/>
      <c r="C53" s="208">
        <v>2</v>
      </c>
      <c r="D53" s="83">
        <f t="shared" si="19"/>
        <v>3.002667111111111</v>
      </c>
      <c r="E53" s="212">
        <f aca="true" t="shared" si="21" ref="E53:P53">IF(AND(E$18&lt;$G$7+0.1,$D21&lt;$G$5+0.1),E$36*$D38/$D$36,0)</f>
        <v>0.667778222222222</v>
      </c>
      <c r="F53" s="213">
        <f t="shared" si="21"/>
        <v>2.334888888888889</v>
      </c>
      <c r="G53" s="213">
        <f t="shared" si="21"/>
        <v>0</v>
      </c>
      <c r="H53" s="213">
        <f t="shared" si="21"/>
        <v>0</v>
      </c>
      <c r="I53" s="213">
        <f t="shared" si="21"/>
        <v>0</v>
      </c>
      <c r="J53" s="213">
        <f t="shared" si="21"/>
        <v>0</v>
      </c>
      <c r="K53" s="213">
        <f t="shared" si="21"/>
        <v>0</v>
      </c>
      <c r="L53" s="213">
        <f t="shared" si="21"/>
        <v>0</v>
      </c>
      <c r="M53" s="213">
        <f t="shared" si="21"/>
        <v>0</v>
      </c>
      <c r="N53" s="213">
        <f t="shared" si="21"/>
        <v>0</v>
      </c>
      <c r="O53" s="213">
        <f t="shared" si="21"/>
        <v>0</v>
      </c>
      <c r="P53" s="214">
        <f t="shared" si="21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</row>
    <row r="54" spans="1:145" ht="13.5">
      <c r="A54" s="120"/>
      <c r="B54" s="207"/>
      <c r="C54" s="208">
        <f aca="true" t="shared" si="22" ref="C54:C63">IF(C53&gt;$G$5-0.5,"  ",C53+1)</f>
        <v>3</v>
      </c>
      <c r="D54" s="83">
        <f t="shared" si="19"/>
        <v>2.0004444444444442</v>
      </c>
      <c r="E54" s="212">
        <f aca="true" t="shared" si="23" ref="E54:P54">IF(AND(E$18&lt;$G$7+0.1,$D22&lt;$G$5+0.1),E$36*$D39/$D$36,0)</f>
        <v>0.44488888888888883</v>
      </c>
      <c r="F54" s="213">
        <f t="shared" si="23"/>
        <v>1.5555555555555556</v>
      </c>
      <c r="G54" s="213">
        <f t="shared" si="23"/>
        <v>0</v>
      </c>
      <c r="H54" s="213">
        <f t="shared" si="23"/>
        <v>0</v>
      </c>
      <c r="I54" s="213">
        <f t="shared" si="23"/>
        <v>0</v>
      </c>
      <c r="J54" s="213">
        <f t="shared" si="23"/>
        <v>0</v>
      </c>
      <c r="K54" s="213">
        <f t="shared" si="23"/>
        <v>0</v>
      </c>
      <c r="L54" s="213">
        <f t="shared" si="23"/>
        <v>0</v>
      </c>
      <c r="M54" s="213">
        <f t="shared" si="23"/>
        <v>0</v>
      </c>
      <c r="N54" s="213">
        <f t="shared" si="23"/>
        <v>0</v>
      </c>
      <c r="O54" s="213">
        <f t="shared" si="23"/>
        <v>0</v>
      </c>
      <c r="P54" s="214">
        <f t="shared" si="23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ht="13.5">
      <c r="A55" s="120"/>
      <c r="B55" s="207"/>
      <c r="C55" s="208" t="str">
        <f t="shared" si="22"/>
        <v>  </v>
      </c>
      <c r="D55" s="83">
        <f t="shared" si="19"/>
        <v>0</v>
      </c>
      <c r="E55" s="212">
        <f aca="true" t="shared" si="24" ref="E55:P55">IF(AND(E$18&lt;$G$7+0.1,$D23&lt;$G$5+0.1),E$36*$D40/$D$36,0)</f>
        <v>0</v>
      </c>
      <c r="F55" s="213">
        <f t="shared" si="24"/>
        <v>0</v>
      </c>
      <c r="G55" s="213">
        <f t="shared" si="24"/>
        <v>0</v>
      </c>
      <c r="H55" s="213">
        <f t="shared" si="24"/>
        <v>0</v>
      </c>
      <c r="I55" s="213">
        <f t="shared" si="24"/>
        <v>0</v>
      </c>
      <c r="J55" s="213">
        <f t="shared" si="24"/>
        <v>0</v>
      </c>
      <c r="K55" s="213">
        <f t="shared" si="24"/>
        <v>0</v>
      </c>
      <c r="L55" s="213">
        <f t="shared" si="24"/>
        <v>0</v>
      </c>
      <c r="M55" s="213">
        <f t="shared" si="24"/>
        <v>0</v>
      </c>
      <c r="N55" s="213">
        <f t="shared" si="24"/>
        <v>0</v>
      </c>
      <c r="O55" s="213">
        <f t="shared" si="24"/>
        <v>0</v>
      </c>
      <c r="P55" s="214">
        <f t="shared" si="24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13.5">
      <c r="A56" s="120"/>
      <c r="B56" s="207"/>
      <c r="C56" s="208" t="str">
        <f t="shared" si="22"/>
        <v>  </v>
      </c>
      <c r="D56" s="83">
        <f t="shared" si="19"/>
        <v>0</v>
      </c>
      <c r="E56" s="212">
        <f aca="true" t="shared" si="25" ref="E56:P56">IF(AND(E$18&lt;$G$7+0.1,$D24&lt;$G$5+0.1),E$36*$D41/$D$36,0)</f>
        <v>0</v>
      </c>
      <c r="F56" s="213">
        <f t="shared" si="25"/>
        <v>0</v>
      </c>
      <c r="G56" s="213">
        <f t="shared" si="25"/>
        <v>0</v>
      </c>
      <c r="H56" s="213">
        <f t="shared" si="25"/>
        <v>0</v>
      </c>
      <c r="I56" s="213">
        <f t="shared" si="25"/>
        <v>0</v>
      </c>
      <c r="J56" s="213">
        <f t="shared" si="25"/>
        <v>0</v>
      </c>
      <c r="K56" s="213">
        <f t="shared" si="25"/>
        <v>0</v>
      </c>
      <c r="L56" s="213">
        <f t="shared" si="25"/>
        <v>0</v>
      </c>
      <c r="M56" s="213">
        <f t="shared" si="25"/>
        <v>0</v>
      </c>
      <c r="N56" s="213">
        <f t="shared" si="25"/>
        <v>0</v>
      </c>
      <c r="O56" s="213">
        <f t="shared" si="25"/>
        <v>0</v>
      </c>
      <c r="P56" s="214">
        <f t="shared" si="25"/>
        <v>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</row>
    <row r="57" spans="1:145" ht="13.5">
      <c r="A57" s="120"/>
      <c r="B57" s="207"/>
      <c r="C57" s="208" t="str">
        <f t="shared" si="22"/>
        <v>  </v>
      </c>
      <c r="D57" s="83">
        <f t="shared" si="19"/>
        <v>0</v>
      </c>
      <c r="E57" s="212">
        <f aca="true" t="shared" si="26" ref="E57:P57">IF(AND(E$18&lt;$G$7+0.1,$D25&lt;$G$5+0.1),E$36*$D42/$D$36,0)</f>
        <v>0</v>
      </c>
      <c r="F57" s="213">
        <f t="shared" si="26"/>
        <v>0</v>
      </c>
      <c r="G57" s="213">
        <f t="shared" si="26"/>
        <v>0</v>
      </c>
      <c r="H57" s="213">
        <f t="shared" si="26"/>
        <v>0</v>
      </c>
      <c r="I57" s="213">
        <f t="shared" si="26"/>
        <v>0</v>
      </c>
      <c r="J57" s="213">
        <f t="shared" si="26"/>
        <v>0</v>
      </c>
      <c r="K57" s="213">
        <f t="shared" si="26"/>
        <v>0</v>
      </c>
      <c r="L57" s="213">
        <f t="shared" si="26"/>
        <v>0</v>
      </c>
      <c r="M57" s="213">
        <f t="shared" si="26"/>
        <v>0</v>
      </c>
      <c r="N57" s="213">
        <f t="shared" si="26"/>
        <v>0</v>
      </c>
      <c r="O57" s="213">
        <f t="shared" si="26"/>
        <v>0</v>
      </c>
      <c r="P57" s="214">
        <f t="shared" si="26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13.5">
      <c r="A58" s="120"/>
      <c r="B58" s="207"/>
      <c r="C58" s="208" t="str">
        <f t="shared" si="22"/>
        <v>  </v>
      </c>
      <c r="D58" s="83">
        <f t="shared" si="19"/>
        <v>0</v>
      </c>
      <c r="E58" s="212">
        <f aca="true" t="shared" si="27" ref="E58:P58">IF(AND(E$18&lt;$G$7+0.1,$D26&lt;$G$5+0.1),E$36*$D43/$D$36,0)</f>
        <v>0</v>
      </c>
      <c r="F58" s="213">
        <f t="shared" si="27"/>
        <v>0</v>
      </c>
      <c r="G58" s="213">
        <f t="shared" si="27"/>
        <v>0</v>
      </c>
      <c r="H58" s="213">
        <f t="shared" si="27"/>
        <v>0</v>
      </c>
      <c r="I58" s="213">
        <f t="shared" si="27"/>
        <v>0</v>
      </c>
      <c r="J58" s="213">
        <f t="shared" si="27"/>
        <v>0</v>
      </c>
      <c r="K58" s="213">
        <f t="shared" si="27"/>
        <v>0</v>
      </c>
      <c r="L58" s="213">
        <f t="shared" si="27"/>
        <v>0</v>
      </c>
      <c r="M58" s="213">
        <f t="shared" si="27"/>
        <v>0</v>
      </c>
      <c r="N58" s="213">
        <f t="shared" si="27"/>
        <v>0</v>
      </c>
      <c r="O58" s="213">
        <f t="shared" si="27"/>
        <v>0</v>
      </c>
      <c r="P58" s="214">
        <f t="shared" si="27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</row>
    <row r="59" spans="1:145" ht="13.5">
      <c r="A59" s="120"/>
      <c r="B59" s="207"/>
      <c r="C59" s="208" t="str">
        <f t="shared" si="22"/>
        <v>  </v>
      </c>
      <c r="D59" s="83">
        <f t="shared" si="19"/>
        <v>0</v>
      </c>
      <c r="E59" s="212">
        <f aca="true" t="shared" si="28" ref="E59:P59">IF(AND(E$18&lt;$G$7+0.1,$D27&lt;$G$5+0.1),E$36*$D44/$D$36,0)</f>
        <v>0</v>
      </c>
      <c r="F59" s="213">
        <f t="shared" si="28"/>
        <v>0</v>
      </c>
      <c r="G59" s="213">
        <f t="shared" si="28"/>
        <v>0</v>
      </c>
      <c r="H59" s="213">
        <f t="shared" si="28"/>
        <v>0</v>
      </c>
      <c r="I59" s="213">
        <f t="shared" si="28"/>
        <v>0</v>
      </c>
      <c r="J59" s="213">
        <f t="shared" si="28"/>
        <v>0</v>
      </c>
      <c r="K59" s="213">
        <f t="shared" si="28"/>
        <v>0</v>
      </c>
      <c r="L59" s="213">
        <f t="shared" si="28"/>
        <v>0</v>
      </c>
      <c r="M59" s="213">
        <f t="shared" si="28"/>
        <v>0</v>
      </c>
      <c r="N59" s="213">
        <f t="shared" si="28"/>
        <v>0</v>
      </c>
      <c r="O59" s="213">
        <f t="shared" si="28"/>
        <v>0</v>
      </c>
      <c r="P59" s="214">
        <f t="shared" si="28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</row>
    <row r="60" spans="1:145" ht="13.5">
      <c r="A60" s="120"/>
      <c r="B60" s="207"/>
      <c r="C60" s="208" t="str">
        <f t="shared" si="22"/>
        <v>  </v>
      </c>
      <c r="D60" s="83">
        <f t="shared" si="19"/>
        <v>0</v>
      </c>
      <c r="E60" s="212">
        <f aca="true" t="shared" si="29" ref="E60:P60">IF(AND(E$18&lt;$G$7+0.1,$D28&lt;$G$5+0.1),E$36*$D45/$D$36,0)</f>
        <v>0</v>
      </c>
      <c r="F60" s="213">
        <f t="shared" si="29"/>
        <v>0</v>
      </c>
      <c r="G60" s="213">
        <f t="shared" si="29"/>
        <v>0</v>
      </c>
      <c r="H60" s="213">
        <f t="shared" si="29"/>
        <v>0</v>
      </c>
      <c r="I60" s="213">
        <f t="shared" si="29"/>
        <v>0</v>
      </c>
      <c r="J60" s="213">
        <f t="shared" si="29"/>
        <v>0</v>
      </c>
      <c r="K60" s="213">
        <f t="shared" si="29"/>
        <v>0</v>
      </c>
      <c r="L60" s="213">
        <f t="shared" si="29"/>
        <v>0</v>
      </c>
      <c r="M60" s="213">
        <f t="shared" si="29"/>
        <v>0</v>
      </c>
      <c r="N60" s="213">
        <f t="shared" si="29"/>
        <v>0</v>
      </c>
      <c r="O60" s="213">
        <f t="shared" si="29"/>
        <v>0</v>
      </c>
      <c r="P60" s="214">
        <f t="shared" si="29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</row>
    <row r="61" spans="1:145" ht="13.5">
      <c r="A61" s="120"/>
      <c r="B61" s="207"/>
      <c r="C61" s="208" t="str">
        <f t="shared" si="22"/>
        <v>  </v>
      </c>
      <c r="D61" s="83">
        <f t="shared" si="19"/>
        <v>0</v>
      </c>
      <c r="E61" s="212">
        <f aca="true" t="shared" si="30" ref="E61:P61">IF(AND(E$18&lt;$G$7+0.1,$D29&lt;$G$5+0.1),E$36*$D46/$D$36,0)</f>
        <v>0</v>
      </c>
      <c r="F61" s="213">
        <f t="shared" si="30"/>
        <v>0</v>
      </c>
      <c r="G61" s="213">
        <f t="shared" si="30"/>
        <v>0</v>
      </c>
      <c r="H61" s="213">
        <f t="shared" si="30"/>
        <v>0</v>
      </c>
      <c r="I61" s="213">
        <f t="shared" si="30"/>
        <v>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4">
        <f t="shared" si="30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</row>
    <row r="62" spans="1:145" ht="13.5">
      <c r="A62" s="120"/>
      <c r="B62" s="207"/>
      <c r="C62" s="208" t="str">
        <f t="shared" si="22"/>
        <v>  </v>
      </c>
      <c r="D62" s="83">
        <f t="shared" si="19"/>
        <v>0</v>
      </c>
      <c r="E62" s="212">
        <f aca="true" t="shared" si="31" ref="E62:P62">IF(AND(E$18&lt;$G$7+0.1,$D30&lt;$G$5+0.1),E$36*$D47/$D$36,0)</f>
        <v>0</v>
      </c>
      <c r="F62" s="213">
        <f t="shared" si="31"/>
        <v>0</v>
      </c>
      <c r="G62" s="213">
        <f t="shared" si="31"/>
        <v>0</v>
      </c>
      <c r="H62" s="213">
        <f t="shared" si="31"/>
        <v>0</v>
      </c>
      <c r="I62" s="213">
        <f t="shared" si="31"/>
        <v>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4">
        <f t="shared" si="31"/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</row>
    <row r="63" spans="1:145" ht="14.25" thickBot="1">
      <c r="A63" s="120"/>
      <c r="B63" s="207"/>
      <c r="C63" s="208" t="str">
        <f t="shared" si="22"/>
        <v>  </v>
      </c>
      <c r="D63" s="84">
        <f t="shared" si="19"/>
        <v>0</v>
      </c>
      <c r="E63" s="215">
        <f aca="true" t="shared" si="32" ref="E63:P63">IF(AND(E$18&lt;$G$7+0.1,$D31&lt;$G$5+0.1),E$36*$D48/$D$36,0)</f>
        <v>0</v>
      </c>
      <c r="F63" s="216">
        <f t="shared" si="32"/>
        <v>0</v>
      </c>
      <c r="G63" s="216">
        <f t="shared" si="32"/>
        <v>0</v>
      </c>
      <c r="H63" s="216">
        <f t="shared" si="32"/>
        <v>0</v>
      </c>
      <c r="I63" s="216">
        <f t="shared" si="32"/>
        <v>0</v>
      </c>
      <c r="J63" s="216">
        <f t="shared" si="32"/>
        <v>0</v>
      </c>
      <c r="K63" s="216">
        <f t="shared" si="32"/>
        <v>0</v>
      </c>
      <c r="L63" s="216">
        <f t="shared" si="32"/>
        <v>0</v>
      </c>
      <c r="M63" s="216">
        <f t="shared" si="32"/>
        <v>0</v>
      </c>
      <c r="N63" s="216">
        <f t="shared" si="32"/>
        <v>0</v>
      </c>
      <c r="O63" s="216">
        <f t="shared" si="32"/>
        <v>0</v>
      </c>
      <c r="P63" s="217">
        <f t="shared" si="32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</row>
    <row r="64" spans="1:145" ht="12.75">
      <c r="A64" s="205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</row>
    <row r="65" spans="1:145" ht="12.75">
      <c r="A65" s="205"/>
      <c r="B65" s="21"/>
      <c r="C65" s="21"/>
      <c r="D65" s="3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11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</row>
    <row r="66" spans="1:145" ht="13.5" thickBot="1">
      <c r="A66" s="120"/>
      <c r="B66" s="121"/>
      <c r="C66" s="121"/>
      <c r="D66" s="226" t="s">
        <v>90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</row>
    <row r="67" spans="1:145" ht="12.75">
      <c r="A67" s="120"/>
      <c r="B67" s="34"/>
      <c r="C67" s="34"/>
      <c r="D67" s="34"/>
      <c r="E67" s="209">
        <f>IF(E52&lt;0.001,"   ",(E37-E52)*(E37-E52)/E52)</f>
        <v>1.3852822732822734</v>
      </c>
      <c r="F67" s="210">
        <f aca="true" t="shared" si="33" ref="F67:P67">IF(F52&lt;0.001,"   ",(F37-F52)*(F37-F52)/F52)</f>
        <v>0.39682539682539686</v>
      </c>
      <c r="G67" s="210" t="str">
        <f t="shared" si="33"/>
        <v>   </v>
      </c>
      <c r="H67" s="210" t="str">
        <f t="shared" si="33"/>
        <v>   </v>
      </c>
      <c r="I67" s="210" t="str">
        <f t="shared" si="33"/>
        <v>   </v>
      </c>
      <c r="J67" s="210" t="str">
        <f t="shared" si="33"/>
        <v>   </v>
      </c>
      <c r="K67" s="210" t="str">
        <f t="shared" si="33"/>
        <v>   </v>
      </c>
      <c r="L67" s="210" t="str">
        <f t="shared" si="33"/>
        <v>   </v>
      </c>
      <c r="M67" s="210" t="str">
        <f t="shared" si="33"/>
        <v>   </v>
      </c>
      <c r="N67" s="210" t="str">
        <f t="shared" si="33"/>
        <v>   </v>
      </c>
      <c r="O67" s="210" t="str">
        <f t="shared" si="33"/>
        <v>   </v>
      </c>
      <c r="P67" s="211" t="str">
        <f t="shared" si="33"/>
        <v>   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</row>
    <row r="68" spans="1:145" ht="12.75">
      <c r="A68" s="120"/>
      <c r="B68" s="34"/>
      <c r="C68" s="34"/>
      <c r="D68" s="34"/>
      <c r="E68" s="212">
        <f aca="true" t="shared" si="34" ref="E68:P68">IF(E53&lt;0.001,"   ",(E38-E53)*(E38-E53)/E53)</f>
        <v>0.6637842122348743</v>
      </c>
      <c r="F68" s="213">
        <f t="shared" si="34"/>
        <v>0.18946203060393593</v>
      </c>
      <c r="G68" s="213" t="str">
        <f t="shared" si="34"/>
        <v>   </v>
      </c>
      <c r="H68" s="213" t="str">
        <f t="shared" si="34"/>
        <v>   </v>
      </c>
      <c r="I68" s="213" t="str">
        <f t="shared" si="34"/>
        <v>   </v>
      </c>
      <c r="J68" s="213" t="str">
        <f t="shared" si="34"/>
        <v>   </v>
      </c>
      <c r="K68" s="213" t="str">
        <f t="shared" si="34"/>
        <v>   </v>
      </c>
      <c r="L68" s="213" t="str">
        <f t="shared" si="34"/>
        <v>   </v>
      </c>
      <c r="M68" s="213" t="str">
        <f t="shared" si="34"/>
        <v>   </v>
      </c>
      <c r="N68" s="213" t="str">
        <f t="shared" si="34"/>
        <v>   </v>
      </c>
      <c r="O68" s="213" t="str">
        <f t="shared" si="34"/>
        <v>   </v>
      </c>
      <c r="P68" s="214" t="str">
        <f t="shared" si="34"/>
        <v>   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ht="12.75">
      <c r="A69" s="120"/>
      <c r="B69" s="218" t="s">
        <v>34</v>
      </c>
      <c r="C69" s="219"/>
      <c r="D69" s="34"/>
      <c r="E69" s="212">
        <f aca="true" t="shared" si="35" ref="E69:P69">IF(E54&lt;0.001,"   ",(E39-E54)*(E39-E54)/E54)</f>
        <v>0.4448888888888889</v>
      </c>
      <c r="F69" s="213">
        <f t="shared" si="35"/>
        <v>0.12698412698412698</v>
      </c>
      <c r="G69" s="213" t="str">
        <f t="shared" si="35"/>
        <v>   </v>
      </c>
      <c r="H69" s="213" t="str">
        <f t="shared" si="35"/>
        <v>   </v>
      </c>
      <c r="I69" s="213" t="str">
        <f t="shared" si="35"/>
        <v>   </v>
      </c>
      <c r="J69" s="213" t="str">
        <f t="shared" si="35"/>
        <v>   </v>
      </c>
      <c r="K69" s="213" t="str">
        <f t="shared" si="35"/>
        <v>   </v>
      </c>
      <c r="L69" s="213" t="str">
        <f t="shared" si="35"/>
        <v>   </v>
      </c>
      <c r="M69" s="213" t="str">
        <f t="shared" si="35"/>
        <v>   </v>
      </c>
      <c r="N69" s="213" t="str">
        <f t="shared" si="35"/>
        <v>   </v>
      </c>
      <c r="O69" s="213" t="str">
        <f t="shared" si="35"/>
        <v>   </v>
      </c>
      <c r="P69" s="214" t="str">
        <f t="shared" si="35"/>
        <v>   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12.75">
      <c r="A70" s="120"/>
      <c r="B70" s="104" t="s">
        <v>35</v>
      </c>
      <c r="C70" s="198">
        <f>SUM(E37,F38,G39,H40,150,J42)+SUM(K43,L44,M45,N46,O47,P48)</f>
        <v>155</v>
      </c>
      <c r="D70" s="34"/>
      <c r="E70" s="212" t="str">
        <f aca="true" t="shared" si="36" ref="E70:P70">IF(E55&lt;0.001,"   ",(E40-E55)*(E40-E55)/E55)</f>
        <v>   </v>
      </c>
      <c r="F70" s="213" t="str">
        <f t="shared" si="36"/>
        <v>   </v>
      </c>
      <c r="G70" s="213" t="str">
        <f t="shared" si="36"/>
        <v>   </v>
      </c>
      <c r="H70" s="213" t="str">
        <f t="shared" si="36"/>
        <v>   </v>
      </c>
      <c r="I70" s="213" t="str">
        <f t="shared" si="36"/>
        <v>   </v>
      </c>
      <c r="J70" s="213" t="str">
        <f t="shared" si="36"/>
        <v>   </v>
      </c>
      <c r="K70" s="213" t="str">
        <f t="shared" si="36"/>
        <v>   </v>
      </c>
      <c r="L70" s="213" t="str">
        <f t="shared" si="36"/>
        <v>   </v>
      </c>
      <c r="M70" s="213" t="str">
        <f t="shared" si="36"/>
        <v>   </v>
      </c>
      <c r="N70" s="213" t="str">
        <f t="shared" si="36"/>
        <v>   </v>
      </c>
      <c r="O70" s="213" t="str">
        <f t="shared" si="36"/>
        <v>   </v>
      </c>
      <c r="P70" s="214" t="str">
        <f t="shared" si="36"/>
        <v>   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1:145" ht="12.75">
      <c r="A71" s="120"/>
      <c r="B71" s="104" t="s">
        <v>36</v>
      </c>
      <c r="C71" s="198">
        <f>SUM(E52,F53,G54,H55,150,J57)+SUM(K58,L59,M60,N61,O62,P63)</f>
        <v>153.22466666666668</v>
      </c>
      <c r="D71" s="34"/>
      <c r="E71" s="212" t="str">
        <f aca="true" t="shared" si="37" ref="E71:P71">IF(E56&lt;0.001,"   ",(E41-E56)*(E41-E56)/E56)</f>
        <v>   </v>
      </c>
      <c r="F71" s="213" t="str">
        <f t="shared" si="37"/>
        <v>   </v>
      </c>
      <c r="G71" s="213" t="str">
        <f t="shared" si="37"/>
        <v>   </v>
      </c>
      <c r="H71" s="213" t="str">
        <f t="shared" si="37"/>
        <v>   </v>
      </c>
      <c r="I71" s="213" t="str">
        <f t="shared" si="37"/>
        <v>   </v>
      </c>
      <c r="J71" s="213" t="str">
        <f t="shared" si="37"/>
        <v>   </v>
      </c>
      <c r="K71" s="213" t="str">
        <f t="shared" si="37"/>
        <v>   </v>
      </c>
      <c r="L71" s="213" t="str">
        <f t="shared" si="37"/>
        <v>   </v>
      </c>
      <c r="M71" s="213" t="str">
        <f t="shared" si="37"/>
        <v>   </v>
      </c>
      <c r="N71" s="213" t="str">
        <f t="shared" si="37"/>
        <v>   </v>
      </c>
      <c r="O71" s="213" t="str">
        <f t="shared" si="37"/>
        <v>   </v>
      </c>
      <c r="P71" s="214" t="str">
        <f t="shared" si="37"/>
        <v>   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12.75">
      <c r="A72" s="120"/>
      <c r="B72" s="104" t="s">
        <v>37</v>
      </c>
      <c r="C72" s="198">
        <f>C70-C71</f>
        <v>1.7753333333333217</v>
      </c>
      <c r="D72" s="34"/>
      <c r="E72" s="212" t="str">
        <f aca="true" t="shared" si="38" ref="E72:P72">IF(E57&lt;0.001,"   ",(E42-E57)*(E42-E57)/E57)</f>
        <v>   </v>
      </c>
      <c r="F72" s="213" t="str">
        <f t="shared" si="38"/>
        <v>   </v>
      </c>
      <c r="G72" s="213" t="str">
        <f t="shared" si="38"/>
        <v>   </v>
      </c>
      <c r="H72" s="213" t="str">
        <f t="shared" si="38"/>
        <v>   </v>
      </c>
      <c r="I72" s="213" t="str">
        <f t="shared" si="38"/>
        <v>   </v>
      </c>
      <c r="J72" s="213" t="str">
        <f t="shared" si="38"/>
        <v>   </v>
      </c>
      <c r="K72" s="213" t="str">
        <f t="shared" si="38"/>
        <v>   </v>
      </c>
      <c r="L72" s="213" t="str">
        <f t="shared" si="38"/>
        <v>   </v>
      </c>
      <c r="M72" s="213" t="str">
        <f t="shared" si="38"/>
        <v>   </v>
      </c>
      <c r="N72" s="213" t="str">
        <f t="shared" si="38"/>
        <v>   </v>
      </c>
      <c r="O72" s="213" t="str">
        <f t="shared" si="38"/>
        <v>   </v>
      </c>
      <c r="P72" s="214" t="str">
        <f t="shared" si="38"/>
        <v>   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</row>
    <row r="73" spans="1:145" ht="12.75">
      <c r="A73" s="120"/>
      <c r="B73" s="34"/>
      <c r="C73" s="34"/>
      <c r="D73" s="34"/>
      <c r="E73" s="212" t="str">
        <f aca="true" t="shared" si="39" ref="E73:P73">IF(E58&lt;0.001,"   ",(E43-E58)*(E43-E58)/E58)</f>
        <v>   </v>
      </c>
      <c r="F73" s="213" t="str">
        <f t="shared" si="39"/>
        <v>   </v>
      </c>
      <c r="G73" s="213" t="str">
        <f t="shared" si="39"/>
        <v>   </v>
      </c>
      <c r="H73" s="213" t="str">
        <f t="shared" si="39"/>
        <v>   </v>
      </c>
      <c r="I73" s="213" t="str">
        <f t="shared" si="39"/>
        <v>   </v>
      </c>
      <c r="J73" s="213" t="str">
        <f t="shared" si="39"/>
        <v>   </v>
      </c>
      <c r="K73" s="213" t="str">
        <f t="shared" si="39"/>
        <v>   </v>
      </c>
      <c r="L73" s="213" t="str">
        <f t="shared" si="39"/>
        <v>   </v>
      </c>
      <c r="M73" s="213" t="str">
        <f t="shared" si="39"/>
        <v>   </v>
      </c>
      <c r="N73" s="213" t="str">
        <f t="shared" si="39"/>
        <v>   </v>
      </c>
      <c r="O73" s="213" t="str">
        <f t="shared" si="39"/>
        <v>   </v>
      </c>
      <c r="P73" s="214" t="str">
        <f t="shared" si="39"/>
        <v>   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</row>
    <row r="74" spans="1:145" ht="12.75">
      <c r="A74" s="120"/>
      <c r="B74" s="104"/>
      <c r="C74" s="198"/>
      <c r="D74" s="34"/>
      <c r="E74" s="212" t="str">
        <f aca="true" t="shared" si="40" ref="E74:P74">IF(E59&lt;0.001,"   ",(E44-E59)*(E44-E59)/E59)</f>
        <v>   </v>
      </c>
      <c r="F74" s="213" t="str">
        <f t="shared" si="40"/>
        <v>   </v>
      </c>
      <c r="G74" s="213" t="str">
        <f t="shared" si="40"/>
        <v>   </v>
      </c>
      <c r="H74" s="213" t="str">
        <f t="shared" si="40"/>
        <v>   </v>
      </c>
      <c r="I74" s="213" t="str">
        <f t="shared" si="40"/>
        <v>   </v>
      </c>
      <c r="J74" s="213" t="str">
        <f t="shared" si="40"/>
        <v>   </v>
      </c>
      <c r="K74" s="213" t="str">
        <f t="shared" si="40"/>
        <v>   </v>
      </c>
      <c r="L74" s="213" t="str">
        <f t="shared" si="40"/>
        <v>   </v>
      </c>
      <c r="M74" s="213" t="str">
        <f t="shared" si="40"/>
        <v>   </v>
      </c>
      <c r="N74" s="213" t="str">
        <f t="shared" si="40"/>
        <v>   </v>
      </c>
      <c r="O74" s="213" t="str">
        <f t="shared" si="40"/>
        <v>   </v>
      </c>
      <c r="P74" s="214" t="str">
        <f t="shared" si="40"/>
        <v>   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</row>
    <row r="75" spans="1:145" ht="12.75">
      <c r="A75" s="120"/>
      <c r="B75" s="34"/>
      <c r="C75" s="34"/>
      <c r="D75" s="34"/>
      <c r="E75" s="212" t="str">
        <f aca="true" t="shared" si="41" ref="E75:P75">IF(E60&lt;0.001,"   ",(E45-E60)*(E45-E60)/E60)</f>
        <v>   </v>
      </c>
      <c r="F75" s="213" t="str">
        <f t="shared" si="41"/>
        <v>   </v>
      </c>
      <c r="G75" s="213" t="str">
        <f t="shared" si="41"/>
        <v>   </v>
      </c>
      <c r="H75" s="213" t="str">
        <f t="shared" si="41"/>
        <v>   </v>
      </c>
      <c r="I75" s="213" t="str">
        <f t="shared" si="41"/>
        <v>   </v>
      </c>
      <c r="J75" s="213" t="str">
        <f t="shared" si="41"/>
        <v>   </v>
      </c>
      <c r="K75" s="213" t="str">
        <f t="shared" si="41"/>
        <v>   </v>
      </c>
      <c r="L75" s="213" t="str">
        <f t="shared" si="41"/>
        <v>   </v>
      </c>
      <c r="M75" s="213" t="str">
        <f t="shared" si="41"/>
        <v>   </v>
      </c>
      <c r="N75" s="213" t="str">
        <f t="shared" si="41"/>
        <v>   </v>
      </c>
      <c r="O75" s="213" t="str">
        <f t="shared" si="41"/>
        <v>   </v>
      </c>
      <c r="P75" s="214" t="str">
        <f t="shared" si="41"/>
        <v>   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</row>
    <row r="76" spans="1:145" ht="12.75">
      <c r="A76" s="120"/>
      <c r="B76" s="34"/>
      <c r="C76" s="34"/>
      <c r="D76" s="34"/>
      <c r="E76" s="212" t="str">
        <f aca="true" t="shared" si="42" ref="E76:P76">IF(E61&lt;0.001,"   ",(E46-E61)*(E46-E61)/E61)</f>
        <v>   </v>
      </c>
      <c r="F76" s="213" t="str">
        <f t="shared" si="42"/>
        <v>   </v>
      </c>
      <c r="G76" s="213" t="str">
        <f t="shared" si="42"/>
        <v>   </v>
      </c>
      <c r="H76" s="213" t="str">
        <f t="shared" si="42"/>
        <v>   </v>
      </c>
      <c r="I76" s="213" t="str">
        <f t="shared" si="42"/>
        <v>   </v>
      </c>
      <c r="J76" s="213" t="str">
        <f t="shared" si="42"/>
        <v>   </v>
      </c>
      <c r="K76" s="213" t="str">
        <f t="shared" si="42"/>
        <v>   </v>
      </c>
      <c r="L76" s="213" t="str">
        <f t="shared" si="42"/>
        <v>   </v>
      </c>
      <c r="M76" s="213" t="str">
        <f t="shared" si="42"/>
        <v>   </v>
      </c>
      <c r="N76" s="213" t="str">
        <f t="shared" si="42"/>
        <v>   </v>
      </c>
      <c r="O76" s="213" t="str">
        <f t="shared" si="42"/>
        <v>   </v>
      </c>
      <c r="P76" s="214" t="str">
        <f t="shared" si="42"/>
        <v>   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</row>
    <row r="77" spans="1:145" ht="12.75">
      <c r="A77" s="120"/>
      <c r="B77" s="34"/>
      <c r="C77" s="34"/>
      <c r="D77" s="34"/>
      <c r="E77" s="212" t="str">
        <f aca="true" t="shared" si="43" ref="E77:P77">IF(E62&lt;0.001,"   ",(E47-E62)*(E47-E62)/E62)</f>
        <v>   </v>
      </c>
      <c r="F77" s="213" t="str">
        <f t="shared" si="43"/>
        <v>   </v>
      </c>
      <c r="G77" s="213" t="str">
        <f t="shared" si="43"/>
        <v>   </v>
      </c>
      <c r="H77" s="213" t="str">
        <f t="shared" si="43"/>
        <v>   </v>
      </c>
      <c r="I77" s="213" t="str">
        <f t="shared" si="43"/>
        <v>   </v>
      </c>
      <c r="J77" s="213" t="str">
        <f t="shared" si="43"/>
        <v>   </v>
      </c>
      <c r="K77" s="213" t="str">
        <f t="shared" si="43"/>
        <v>   </v>
      </c>
      <c r="L77" s="213" t="str">
        <f t="shared" si="43"/>
        <v>   </v>
      </c>
      <c r="M77" s="213" t="str">
        <f t="shared" si="43"/>
        <v>   </v>
      </c>
      <c r="N77" s="213" t="str">
        <f t="shared" si="43"/>
        <v>   </v>
      </c>
      <c r="O77" s="213" t="str">
        <f t="shared" si="43"/>
        <v>   </v>
      </c>
      <c r="P77" s="214" t="str">
        <f t="shared" si="43"/>
        <v>   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</row>
    <row r="78" spans="1:145" ht="13.5" thickBot="1">
      <c r="A78" s="128"/>
      <c r="B78" s="140"/>
      <c r="C78" s="140"/>
      <c r="D78" s="140"/>
      <c r="E78" s="220" t="str">
        <f aca="true" t="shared" si="44" ref="E78:P78">IF(E63&lt;0.001,"   ",(E48-E63)*(E48-E63)/E63)</f>
        <v>   </v>
      </c>
      <c r="F78" s="221" t="str">
        <f t="shared" si="44"/>
        <v>   </v>
      </c>
      <c r="G78" s="221" t="str">
        <f t="shared" si="44"/>
        <v>   </v>
      </c>
      <c r="H78" s="221" t="str">
        <f t="shared" si="44"/>
        <v>   </v>
      </c>
      <c r="I78" s="221" t="str">
        <f t="shared" si="44"/>
        <v>   </v>
      </c>
      <c r="J78" s="221" t="str">
        <f t="shared" si="44"/>
        <v>   </v>
      </c>
      <c r="K78" s="221" t="str">
        <f t="shared" si="44"/>
        <v>   </v>
      </c>
      <c r="L78" s="221" t="str">
        <f t="shared" si="44"/>
        <v>   </v>
      </c>
      <c r="M78" s="221" t="str">
        <f t="shared" si="44"/>
        <v>   </v>
      </c>
      <c r="N78" s="221" t="str">
        <f t="shared" si="44"/>
        <v>   </v>
      </c>
      <c r="O78" s="221" t="str">
        <f t="shared" si="44"/>
        <v>   </v>
      </c>
      <c r="P78" s="222" t="str">
        <f t="shared" si="44"/>
        <v>   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</row>
    <row r="79" spans="6:215" ht="13.5" thickTop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</row>
    <row r="80" spans="6:145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</row>
    <row r="81" spans="1:145" ht="12.75">
      <c r="A81" s="2"/>
      <c r="B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</row>
    <row r="82" spans="1:145" ht="12.75">
      <c r="A82" s="2"/>
      <c r="B82" s="2"/>
      <c r="C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</row>
    <row r="83" spans="1:14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</row>
    <row r="84" spans="1:14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</row>
    <row r="85" spans="1:145" ht="12.75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</row>
    <row r="87" spans="1:14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</row>
    <row r="88" spans="1:14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</row>
    <row r="89" spans="1:145" ht="12.7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</row>
    <row r="90" spans="1:145" ht="12.7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</row>
    <row r="91" spans="1:145" ht="12.7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</row>
    <row r="92" spans="1:14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</sheetData>
  <sheetProtection password="C550" sheet="1" objects="1" scenarios="1"/>
  <mergeCells count="21">
    <mergeCell ref="B26:C26"/>
    <mergeCell ref="B31:C31"/>
    <mergeCell ref="B51:C51"/>
    <mergeCell ref="B27:C27"/>
    <mergeCell ref="B28:C28"/>
    <mergeCell ref="B29:C29"/>
    <mergeCell ref="B30:C30"/>
    <mergeCell ref="B36:C36"/>
    <mergeCell ref="B34:C34"/>
    <mergeCell ref="B24:C24"/>
    <mergeCell ref="J12:O12"/>
    <mergeCell ref="B20:C20"/>
    <mergeCell ref="B21:C21"/>
    <mergeCell ref="B22:C22"/>
    <mergeCell ref="B25:C25"/>
    <mergeCell ref="E4:G4"/>
    <mergeCell ref="E6:G6"/>
    <mergeCell ref="B19:C19"/>
    <mergeCell ref="B18:D18"/>
    <mergeCell ref="E17:G17"/>
    <mergeCell ref="B23:C23"/>
  </mergeCells>
  <conditionalFormatting sqref="E52:P63 E37:P48">
    <cfRule type="cellIs" priority="1" dxfId="1" operator="lessThan" stopIfTrue="1">
      <formula>0.001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F33"/>
  <sheetViews>
    <sheetView showGridLines="0" zoomScalePageLayoutView="0" workbookViewId="0" topLeftCell="A1">
      <selection activeCell="I32" sqref="I32"/>
    </sheetView>
  </sheetViews>
  <sheetFormatPr defaultColWidth="9.625" defaultRowHeight="12.75"/>
  <cols>
    <col min="1" max="1" width="2.875" style="25" customWidth="1"/>
    <col min="2" max="2" width="22.25390625" style="1" customWidth="1"/>
    <col min="3" max="3" width="13.625" style="1" customWidth="1"/>
    <col min="4" max="4" width="12.75390625" style="1" customWidth="1"/>
    <col min="5" max="5" width="6.625" style="1" customWidth="1"/>
    <col min="6" max="16384" width="9.625" style="1" customWidth="1"/>
  </cols>
  <sheetData>
    <row r="1" spans="1:6" ht="13.5" thickTop="1">
      <c r="A1" s="244" t="s">
        <v>16</v>
      </c>
      <c r="B1" s="245"/>
      <c r="C1" s="245"/>
      <c r="D1" s="245"/>
      <c r="E1" s="246"/>
      <c r="F1" s="2"/>
    </row>
    <row r="2" spans="1:6" ht="14.25" thickBot="1">
      <c r="A2" s="42"/>
      <c r="B2" s="12"/>
      <c r="C2" s="4"/>
      <c r="D2" s="4"/>
      <c r="E2" s="43"/>
      <c r="F2" s="2"/>
    </row>
    <row r="3" spans="1:6" ht="14.25" thickBot="1">
      <c r="A3" s="42"/>
      <c r="B3" s="44" t="s">
        <v>17</v>
      </c>
      <c r="C3" s="227" t="s">
        <v>18</v>
      </c>
      <c r="D3" s="247"/>
      <c r="E3" s="248"/>
      <c r="F3" s="2"/>
    </row>
    <row r="4" spans="1:6" s="19" customFormat="1" ht="14.25" thickBot="1">
      <c r="A4" s="163"/>
      <c r="B4" s="162"/>
      <c r="C4" s="167" t="s">
        <v>79</v>
      </c>
      <c r="D4" s="167"/>
      <c r="E4" s="168"/>
      <c r="F4" s="166"/>
    </row>
    <row r="5" spans="1:6" s="19" customFormat="1" ht="14.25" thickBot="1">
      <c r="A5" s="163"/>
      <c r="B5" s="44" t="s">
        <v>80</v>
      </c>
      <c r="C5" s="227" t="s">
        <v>4</v>
      </c>
      <c r="D5" s="247"/>
      <c r="E5" s="248"/>
      <c r="F5" s="166"/>
    </row>
    <row r="6" spans="1:6" s="19" customFormat="1" ht="13.5">
      <c r="A6" s="163"/>
      <c r="B6" s="162"/>
      <c r="C6" s="167" t="s">
        <v>81</v>
      </c>
      <c r="D6" s="167"/>
      <c r="E6" s="168"/>
      <c r="F6" s="166"/>
    </row>
    <row r="7" spans="1:6" s="19" customFormat="1" ht="13.5">
      <c r="A7" s="163"/>
      <c r="B7" s="162"/>
      <c r="C7" s="164"/>
      <c r="D7" s="164"/>
      <c r="E7" s="165"/>
      <c r="F7" s="166"/>
    </row>
    <row r="8" spans="1:6" ht="13.5">
      <c r="A8" s="42"/>
      <c r="B8" s="45" t="s">
        <v>5</v>
      </c>
      <c r="C8" s="3"/>
      <c r="D8" s="3"/>
      <c r="E8" s="43"/>
      <c r="F8" s="2"/>
    </row>
    <row r="9" spans="1:6" ht="13.5">
      <c r="A9" s="42"/>
      <c r="B9" s="56" t="s">
        <v>19</v>
      </c>
      <c r="C9" s="249" t="str">
        <f>C5</f>
        <v>happiness</v>
      </c>
      <c r="D9" s="250"/>
      <c r="E9" s="46"/>
      <c r="F9" s="2"/>
    </row>
    <row r="10" spans="1:6" ht="14.25" thickBot="1">
      <c r="A10" s="42"/>
      <c r="B10" s="169" t="str">
        <f>C3</f>
        <v>male sex</v>
      </c>
      <c r="C10" s="5" t="s">
        <v>20</v>
      </c>
      <c r="D10" s="5" t="s">
        <v>21</v>
      </c>
      <c r="E10" s="47" t="s">
        <v>22</v>
      </c>
      <c r="F10" s="2"/>
    </row>
    <row r="11" spans="1:6" ht="13.5">
      <c r="A11" s="42">
        <v>0</v>
      </c>
      <c r="B11" s="48" t="s">
        <v>23</v>
      </c>
      <c r="C11" s="49">
        <v>313</v>
      </c>
      <c r="D11" s="50">
        <v>512</v>
      </c>
      <c r="E11" s="51">
        <f>C11+D11</f>
        <v>825</v>
      </c>
      <c r="F11" s="2"/>
    </row>
    <row r="12" spans="1:6" ht="14.25" thickBot="1">
      <c r="A12" s="42">
        <v>1</v>
      </c>
      <c r="B12" s="48" t="s">
        <v>24</v>
      </c>
      <c r="C12" s="52">
        <v>19</v>
      </c>
      <c r="D12" s="53">
        <v>89</v>
      </c>
      <c r="E12" s="51">
        <f>C12+D12</f>
        <v>108</v>
      </c>
      <c r="F12" s="2"/>
    </row>
    <row r="13" spans="1:6" ht="13.5">
      <c r="A13" s="42"/>
      <c r="B13" s="16" t="s">
        <v>0</v>
      </c>
      <c r="C13" s="6">
        <f>C11+C12</f>
        <v>332</v>
      </c>
      <c r="D13" s="6">
        <f>D11+D12</f>
        <v>601</v>
      </c>
      <c r="E13" s="54">
        <f>E11+E12</f>
        <v>933</v>
      </c>
      <c r="F13" s="2"/>
    </row>
    <row r="14" spans="1:6" ht="13.5">
      <c r="A14" s="42"/>
      <c r="B14" s="170"/>
      <c r="C14" s="9"/>
      <c r="D14" s="9"/>
      <c r="E14" s="46"/>
      <c r="F14" s="2"/>
    </row>
    <row r="15" spans="1:6" ht="14.25" thickBot="1">
      <c r="A15" s="42"/>
      <c r="B15" s="45" t="s">
        <v>25</v>
      </c>
      <c r="C15" s="55" t="str">
        <f>C10</f>
        <v>not happy</v>
      </c>
      <c r="D15" s="55" t="str">
        <f>D10</f>
        <v>happy</v>
      </c>
      <c r="E15" s="47" t="s">
        <v>22</v>
      </c>
      <c r="F15" s="2"/>
    </row>
    <row r="16" spans="1:6" ht="13.5">
      <c r="A16" s="42"/>
      <c r="B16" s="56" t="str">
        <f>B11</f>
        <v>female</v>
      </c>
      <c r="C16" s="57">
        <f>C13*E11/E13</f>
        <v>293.56913183279744</v>
      </c>
      <c r="D16" s="58">
        <f>D13*E11/E13</f>
        <v>531.4308681672026</v>
      </c>
      <c r="E16" s="51">
        <f>C16+D16</f>
        <v>825</v>
      </c>
      <c r="F16" s="2"/>
    </row>
    <row r="17" spans="1:6" ht="14.25" thickBot="1">
      <c r="A17" s="42"/>
      <c r="B17" s="56" t="str">
        <f>B12</f>
        <v>male </v>
      </c>
      <c r="C17" s="59">
        <f>C13*E12/E13</f>
        <v>38.430868167202576</v>
      </c>
      <c r="D17" s="60">
        <f>D13*E12/E13</f>
        <v>69.56913183279742</v>
      </c>
      <c r="E17" s="51">
        <f>C17+D17</f>
        <v>108</v>
      </c>
      <c r="F17" s="2"/>
    </row>
    <row r="18" spans="1:6" ht="13.5">
      <c r="A18" s="42"/>
      <c r="B18" s="16" t="s">
        <v>0</v>
      </c>
      <c r="C18" s="6">
        <f>C16+C17</f>
        <v>332</v>
      </c>
      <c r="D18" s="6">
        <f>D16+D17</f>
        <v>601</v>
      </c>
      <c r="E18" s="54">
        <f>E16+E17</f>
        <v>933</v>
      </c>
      <c r="F18" s="2"/>
    </row>
    <row r="19" spans="1:6" ht="14.25" thickBot="1">
      <c r="A19" s="42"/>
      <c r="B19" s="170"/>
      <c r="C19" s="9"/>
      <c r="D19" s="171"/>
      <c r="E19" s="46"/>
      <c r="F19" s="2"/>
    </row>
    <row r="20" spans="1:6" ht="15.75" thickBot="1">
      <c r="A20" s="42"/>
      <c r="B20" s="170"/>
      <c r="C20" s="9"/>
      <c r="D20" s="61" t="s">
        <v>26</v>
      </c>
      <c r="E20" s="62" t="str">
        <f>IF(D12&gt;D17,"+",IF(D12&lt;D17,"-",""))</f>
        <v>+</v>
      </c>
      <c r="F20" s="2"/>
    </row>
    <row r="21" spans="1:6" ht="13.5">
      <c r="A21" s="42"/>
      <c r="B21" s="170"/>
      <c r="C21" s="9"/>
      <c r="D21" s="9"/>
      <c r="E21" s="46"/>
      <c r="F21" s="2"/>
    </row>
    <row r="22" spans="1:6" ht="13.5">
      <c r="A22" s="42"/>
      <c r="C22" s="9"/>
      <c r="D22" s="63" t="s">
        <v>27</v>
      </c>
      <c r="E22" s="64">
        <f>ABS(C11-C16)</f>
        <v>19.43086816720256</v>
      </c>
      <c r="F22" s="2"/>
    </row>
    <row r="23" spans="1:6" ht="13.5">
      <c r="A23" s="42"/>
      <c r="B23" s="13"/>
      <c r="C23" s="65" t="s">
        <v>2</v>
      </c>
      <c r="D23" s="172"/>
      <c r="E23" s="46"/>
      <c r="F23" s="2"/>
    </row>
    <row r="24" spans="1:6" ht="13.5">
      <c r="A24" s="42"/>
      <c r="B24" s="14" t="s">
        <v>3</v>
      </c>
      <c r="C24" s="8">
        <f>(ABS(C11*D12-C12*D11)-E13/2)*(ABS(C11*D12-C12*D11)-E13/2)*E13/(C13*D13*E11*E12)</f>
        <v>16.371773728934798</v>
      </c>
      <c r="D24" s="9" t="s">
        <v>28</v>
      </c>
      <c r="E24" s="46"/>
      <c r="F24" s="2"/>
    </row>
    <row r="25" spans="1:6" ht="14.25" thickBot="1">
      <c r="A25" s="42"/>
      <c r="B25" s="66"/>
      <c r="C25" s="67">
        <f>(ABS(C11*D12-C12*D11))*(ABS(C11*D12-C12*D11))*E13/(C13*D13*E11*E12)</f>
        <v>17.24801344084552</v>
      </c>
      <c r="D25" s="17" t="s">
        <v>29</v>
      </c>
      <c r="E25" s="68"/>
      <c r="F25" s="2"/>
    </row>
    <row r="26" spans="1:6" ht="14.25" thickBot="1">
      <c r="A26" s="42"/>
      <c r="B26" s="15" t="s">
        <v>1</v>
      </c>
      <c r="C26" s="10" t="str">
        <f>IF(CHIDIST(C24,1)&lt;0.001,"     ",CHIDIST(C24,1))</f>
        <v>     </v>
      </c>
      <c r="D26" s="11">
        <f>IF(CHIDIST(C24,1)&lt;0.001,CHIDIST(C24,1),"    ")</f>
        <v>5.2054683458760764E-05</v>
      </c>
      <c r="E26" s="173"/>
      <c r="F26" s="2"/>
    </row>
    <row r="27" spans="1:6" ht="13.5">
      <c r="A27" s="42"/>
      <c r="B27" s="13"/>
      <c r="C27" s="9"/>
      <c r="D27" s="9"/>
      <c r="E27" s="46"/>
      <c r="F27" s="2"/>
    </row>
    <row r="28" spans="1:6" ht="14.25" thickBot="1">
      <c r="A28" s="42"/>
      <c r="B28" s="69" t="s">
        <v>30</v>
      </c>
      <c r="C28" s="9"/>
      <c r="D28" s="9"/>
      <c r="E28" s="46"/>
      <c r="F28" s="2"/>
    </row>
    <row r="29" spans="1:6" ht="14.25" thickBot="1">
      <c r="A29" s="42"/>
      <c r="B29" s="13" t="s">
        <v>31</v>
      </c>
      <c r="C29" s="70">
        <f>MAX((C11*D12)/(D11*C12),(D11*C12)/(C11*D12))</f>
        <v>2.8635896381578947</v>
      </c>
      <c r="D29" s="9"/>
      <c r="E29" s="46"/>
      <c r="F29" s="2"/>
    </row>
    <row r="30" spans="1:6" ht="14.25" thickBot="1">
      <c r="A30" s="42"/>
      <c r="B30" s="13" t="s">
        <v>32</v>
      </c>
      <c r="C30" s="70">
        <f>MIN((C12*D11)/(D12*C11),(D12*C11)/(C12*D11))</f>
        <v>0.3492120472412679</v>
      </c>
      <c r="D30" s="9"/>
      <c r="E30" s="46"/>
      <c r="F30" s="2"/>
    </row>
    <row r="31" spans="1:6" ht="13.5">
      <c r="A31" s="42"/>
      <c r="B31" s="15" t="s">
        <v>33</v>
      </c>
      <c r="C31" s="71" t="str">
        <f>IF(AND(C29*C30&gt;0.995,C29*C30&lt;1.005),"OK !!","ERROR !!")</f>
        <v>OK !!</v>
      </c>
      <c r="D31" s="9"/>
      <c r="E31" s="46"/>
      <c r="F31" s="2"/>
    </row>
    <row r="32" spans="1:5" ht="13.5">
      <c r="A32" s="42"/>
      <c r="B32" s="72"/>
      <c r="C32" s="72"/>
      <c r="D32" s="72"/>
      <c r="E32" s="73" t="s">
        <v>82</v>
      </c>
    </row>
    <row r="33" spans="1:6" ht="14.25" thickBot="1">
      <c r="A33" s="74"/>
      <c r="B33" s="75"/>
      <c r="C33" s="75"/>
      <c r="D33" s="75"/>
      <c r="E33" s="76"/>
      <c r="F33" s="2"/>
    </row>
    <row r="34" ht="13.5" thickTop="1"/>
  </sheetData>
  <sheetProtection password="C550" sheet="1" objects="1" scenarios="1"/>
  <mergeCells count="4">
    <mergeCell ref="A1:E1"/>
    <mergeCell ref="C3:E3"/>
    <mergeCell ref="C9:D9"/>
    <mergeCell ref="C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8"/>
  <sheetViews>
    <sheetView showGridLines="0" zoomScalePageLayoutView="0" workbookViewId="0" topLeftCell="A1">
      <selection activeCell="G7" sqref="G7"/>
    </sheetView>
  </sheetViews>
  <sheetFormatPr defaultColWidth="9.00390625" defaultRowHeight="12.75"/>
  <cols>
    <col min="1" max="1" width="50.625" style="2" customWidth="1"/>
    <col min="2" max="2" width="7.625" style="2" customWidth="1"/>
    <col min="3" max="3" width="4.625" style="2" customWidth="1"/>
    <col min="4" max="4" width="10.875" style="2" customWidth="1"/>
    <col min="5" max="5" width="11.625" style="2" customWidth="1"/>
    <col min="6" max="16384" width="8.875" style="2" customWidth="1"/>
  </cols>
  <sheetData>
    <row r="1" spans="1:5" ht="14.25" thickBot="1" thickTop="1">
      <c r="A1" s="116" t="s">
        <v>47</v>
      </c>
      <c r="B1" s="117"/>
      <c r="C1" s="117"/>
      <c r="D1" s="117"/>
      <c r="E1" s="118"/>
    </row>
    <row r="2" spans="1:5" ht="14.25" thickBot="1" thickTop="1">
      <c r="A2" s="124"/>
      <c r="B2" s="34"/>
      <c r="C2" s="34"/>
      <c r="D2" s="34"/>
      <c r="E2" s="125"/>
    </row>
    <row r="3" spans="1:5" ht="13.5" thickTop="1">
      <c r="A3" s="123" t="s">
        <v>48</v>
      </c>
      <c r="B3" s="137"/>
      <c r="C3" s="137"/>
      <c r="D3" s="137"/>
      <c r="E3" s="138"/>
    </row>
    <row r="4" spans="1:5" ht="12.75">
      <c r="A4" s="124" t="s">
        <v>49</v>
      </c>
      <c r="B4" s="34"/>
      <c r="C4" s="34"/>
      <c r="D4" s="34"/>
      <c r="E4" s="125"/>
    </row>
    <row r="5" spans="1:5" ht="12.75">
      <c r="A5" s="126" t="s">
        <v>50</v>
      </c>
      <c r="B5" s="34"/>
      <c r="C5" s="34"/>
      <c r="D5" s="34"/>
      <c r="E5" s="125"/>
    </row>
    <row r="6" spans="1:5" ht="12.75">
      <c r="A6" s="124" t="s">
        <v>51</v>
      </c>
      <c r="B6" s="34"/>
      <c r="C6" s="34"/>
      <c r="D6" s="34"/>
      <c r="E6" s="125"/>
    </row>
    <row r="7" spans="1:5" ht="12.75">
      <c r="A7" s="124" t="s">
        <v>52</v>
      </c>
      <c r="B7" s="34"/>
      <c r="C7" s="34"/>
      <c r="D7" s="34"/>
      <c r="E7" s="125"/>
    </row>
    <row r="8" spans="1:5" ht="12.75">
      <c r="A8" s="124" t="s">
        <v>53</v>
      </c>
      <c r="B8" s="34"/>
      <c r="C8" s="34"/>
      <c r="D8" s="34"/>
      <c r="E8" s="125"/>
    </row>
    <row r="9" spans="1:5" ht="12.75">
      <c r="A9" s="127" t="s">
        <v>54</v>
      </c>
      <c r="B9" s="34"/>
      <c r="C9" s="34"/>
      <c r="D9" s="34"/>
      <c r="E9" s="125"/>
    </row>
    <row r="10" spans="1:5" ht="12.75">
      <c r="A10" s="124" t="s">
        <v>55</v>
      </c>
      <c r="B10" s="34"/>
      <c r="C10" s="34"/>
      <c r="D10" s="34"/>
      <c r="E10" s="125"/>
    </row>
    <row r="11" spans="1:5" ht="12.75">
      <c r="A11" s="124" t="s">
        <v>56</v>
      </c>
      <c r="B11" s="34"/>
      <c r="C11" s="34"/>
      <c r="D11" s="34"/>
      <c r="E11" s="125"/>
    </row>
    <row r="12" spans="1:5" ht="12.75">
      <c r="A12" s="124" t="s">
        <v>57</v>
      </c>
      <c r="B12" s="34"/>
      <c r="C12" s="34"/>
      <c r="D12" s="34"/>
      <c r="E12" s="125"/>
    </row>
    <row r="13" spans="1:5" ht="12.75">
      <c r="A13" s="124" t="s">
        <v>58</v>
      </c>
      <c r="B13" s="34"/>
      <c r="C13" s="34"/>
      <c r="D13" s="34"/>
      <c r="E13" s="125"/>
    </row>
    <row r="14" spans="1:5" ht="12.75">
      <c r="A14" s="124" t="s">
        <v>59</v>
      </c>
      <c r="B14" s="34"/>
      <c r="C14" s="34"/>
      <c r="D14" s="34"/>
      <c r="E14" s="125"/>
    </row>
    <row r="15" spans="1:5" ht="12.75">
      <c r="A15" s="124" t="s">
        <v>60</v>
      </c>
      <c r="B15" s="34"/>
      <c r="C15" s="34"/>
      <c r="D15" s="34"/>
      <c r="E15" s="125"/>
    </row>
    <row r="16" spans="1:5" ht="12.75">
      <c r="A16" s="124" t="s">
        <v>61</v>
      </c>
      <c r="B16" s="34"/>
      <c r="C16" s="34"/>
      <c r="D16" s="34"/>
      <c r="E16" s="125"/>
    </row>
    <row r="17" spans="1:5" ht="12.75">
      <c r="A17" s="124" t="s">
        <v>62</v>
      </c>
      <c r="B17" s="34"/>
      <c r="C17" s="34"/>
      <c r="D17" s="34"/>
      <c r="E17" s="125"/>
    </row>
    <row r="18" spans="1:5" ht="13.5" thickBot="1">
      <c r="A18" s="139"/>
      <c r="B18" s="140"/>
      <c r="C18" s="140"/>
      <c r="D18" s="140"/>
      <c r="E18" s="141"/>
    </row>
    <row r="19" spans="1:5" ht="13.5" thickTop="1">
      <c r="A19" s="129" t="s">
        <v>63</v>
      </c>
      <c r="B19" s="130" t="s">
        <v>64</v>
      </c>
      <c r="C19" s="131"/>
      <c r="D19" s="130" t="s">
        <v>65</v>
      </c>
      <c r="E19" s="132"/>
    </row>
    <row r="20" spans="1:5" ht="12.75">
      <c r="A20" s="133" t="s">
        <v>66</v>
      </c>
      <c r="B20" s="142">
        <v>84</v>
      </c>
      <c r="C20" s="143"/>
      <c r="D20" s="34"/>
      <c r="E20" s="125"/>
    </row>
    <row r="21" spans="1:5" ht="13.5" thickBot="1">
      <c r="A21" s="133" t="s">
        <v>67</v>
      </c>
      <c r="B21" s="142">
        <v>3</v>
      </c>
      <c r="C21" s="143"/>
      <c r="D21" s="34" t="s">
        <v>68</v>
      </c>
      <c r="E21" s="125"/>
    </row>
    <row r="22" spans="1:5" ht="12.75">
      <c r="A22" s="133" t="s">
        <v>69</v>
      </c>
      <c r="B22" s="142">
        <v>6</v>
      </c>
      <c r="C22" s="143"/>
      <c r="D22" s="144">
        <f>IF(CHIDIST(D$35,D$36)&lt;0.001,"",CHIDIST(D$35,D$36))</f>
        <v>0.8769723952326334</v>
      </c>
      <c r="E22" s="125"/>
    </row>
    <row r="23" spans="1:5" ht="13.5" thickBot="1">
      <c r="A23" s="145" t="s">
        <v>70</v>
      </c>
      <c r="B23" s="146">
        <f>MIN(B21,B22)</f>
        <v>3</v>
      </c>
      <c r="D23" s="134">
        <f>IF(CHIDIST(D$35,D$36)&lt;0.001,CHIDIST(D$35,D$36),"")</f>
      </c>
      <c r="E23" s="125"/>
    </row>
    <row r="24" spans="1:5" ht="12.75">
      <c r="A24" s="135" t="str">
        <f>IF(AND(B20&gt;B21*B22-1,B21&gt;1.5,B22&gt;1.5)," ","ERROR: At least 2 rows and 2 columns are required !")</f>
        <v> </v>
      </c>
      <c r="B24" s="34"/>
      <c r="C24" s="147"/>
      <c r="D24" s="34"/>
      <c r="E24" s="125"/>
    </row>
    <row r="25" spans="1:5" ht="12.75">
      <c r="A25" s="129" t="s">
        <v>71</v>
      </c>
      <c r="B25" s="34"/>
      <c r="C25" s="147"/>
      <c r="D25" s="34"/>
      <c r="E25" s="125"/>
    </row>
    <row r="26" spans="1:5" ht="12.75">
      <c r="A26" s="124" t="s">
        <v>72</v>
      </c>
      <c r="B26" s="34"/>
      <c r="C26" s="147"/>
      <c r="D26" s="34"/>
      <c r="E26" s="125"/>
    </row>
    <row r="27" spans="1:5" ht="13.5" thickBot="1">
      <c r="A27" s="135" t="s">
        <v>76</v>
      </c>
      <c r="B27" s="34"/>
      <c r="C27" s="147"/>
      <c r="D27" s="34"/>
      <c r="E27" s="125"/>
    </row>
    <row r="28" spans="1:5" ht="12.75">
      <c r="A28" s="133" t="s">
        <v>77</v>
      </c>
      <c r="B28" s="148"/>
      <c r="C28" s="149">
        <f>B20*B28*B28</f>
        <v>0</v>
      </c>
      <c r="D28" s="97">
        <f>SQRT(D29)</f>
        <v>0.2489591174054492</v>
      </c>
      <c r="E28" s="150" t="str">
        <f>IF(D28*D28&gt;B23-1,"Input error !!)","  ")</f>
        <v>  </v>
      </c>
    </row>
    <row r="29" spans="1:5" ht="12.75">
      <c r="A29" s="133" t="s">
        <v>78</v>
      </c>
      <c r="B29" s="148"/>
      <c r="C29" s="149">
        <f>B20*B29</f>
        <v>0</v>
      </c>
      <c r="D29" s="98">
        <f>D37/B20</f>
        <v>0.06198064213930025</v>
      </c>
      <c r="E29" s="150" t="str">
        <f>IF(D29&gt;B23-1,"Input error !!)","  ")</f>
        <v>  </v>
      </c>
    </row>
    <row r="30" spans="1:5" ht="13.5" thickBot="1">
      <c r="A30" s="133" t="s">
        <v>84</v>
      </c>
      <c r="B30" s="148"/>
      <c r="C30" s="149">
        <f>B20*B30*B30/(1+B30*B30)</f>
        <v>0</v>
      </c>
      <c r="D30" s="151">
        <f>SQRT(D37/(D37+B20))</f>
        <v>0.2415848720471643</v>
      </c>
      <c r="E30" s="150" t="str">
        <f>IF(D30&gt;1,"Input error !!)","  ")</f>
        <v>  </v>
      </c>
    </row>
    <row r="31" spans="1:5" ht="14.25" thickBot="1" thickTop="1">
      <c r="A31" s="133" t="s">
        <v>85</v>
      </c>
      <c r="B31" s="148"/>
      <c r="C31" s="149">
        <f>B20*B31*B31*(B23-1)</f>
        <v>0</v>
      </c>
      <c r="D31" s="136">
        <f>SQRT(D32)</f>
        <v>0.17604068015561097</v>
      </c>
      <c r="E31" s="150" t="str">
        <f>IF(D31&gt;1,"Input error !!)","  ")</f>
        <v>  </v>
      </c>
    </row>
    <row r="32" spans="1:5" ht="13.5" thickTop="1">
      <c r="A32" s="133" t="s">
        <v>86</v>
      </c>
      <c r="B32" s="148"/>
      <c r="C32" s="149">
        <f>B32*B20*(B23-1)</f>
        <v>0</v>
      </c>
      <c r="D32" s="152">
        <f>D29/(B23-1)</f>
        <v>0.030990321069650124</v>
      </c>
      <c r="E32" s="150" t="str">
        <f>IF(D32&gt;1,"Input error !!)","  ")</f>
        <v>  </v>
      </c>
    </row>
    <row r="33" spans="1:5" ht="12.75">
      <c r="A33" s="133" t="s">
        <v>88</v>
      </c>
      <c r="B33" s="148">
        <v>0.14</v>
      </c>
      <c r="C33" s="149">
        <f>B20*B33*B33*(SQRT(D36))</f>
        <v>5.206373939701221</v>
      </c>
      <c r="D33" s="98">
        <f>SQRT(D34)</f>
        <v>0.14</v>
      </c>
      <c r="E33" s="150" t="str">
        <f>IF(D33*D33&gt;(B23-1)/(SQRT(D36)),"Input error !!)","  ")</f>
        <v>  </v>
      </c>
    </row>
    <row r="34" spans="1:5" ht="12.75">
      <c r="A34" s="133" t="s">
        <v>87</v>
      </c>
      <c r="B34" s="148"/>
      <c r="C34" s="149">
        <f>B34*B20*(SQRT(D36))</f>
        <v>0</v>
      </c>
      <c r="D34" s="98">
        <f>D29/(SQRT(D36))</f>
        <v>0.019600000000000003</v>
      </c>
      <c r="E34" s="150" t="str">
        <f>IF(D34&gt;(B23-1)/(SQRT(D36)),"Input error !!)","  ")</f>
        <v>  </v>
      </c>
    </row>
    <row r="35" spans="1:5" ht="12.75">
      <c r="A35" s="133" t="s">
        <v>73</v>
      </c>
      <c r="B35" s="148"/>
      <c r="C35" s="149">
        <f>B35</f>
        <v>0</v>
      </c>
      <c r="D35" s="98">
        <f>D37</f>
        <v>5.206373939701221</v>
      </c>
      <c r="E35" s="150" t="str">
        <f>IF(D35&gt;B20*B23,"Input error !!)","  ")</f>
        <v>  </v>
      </c>
    </row>
    <row r="36" spans="1:5" ht="13.5" thickBot="1">
      <c r="A36" s="153" t="s">
        <v>74</v>
      </c>
      <c r="B36" s="154"/>
      <c r="C36" s="154"/>
      <c r="D36" s="155">
        <f>(B21-1)*(B22-1)</f>
        <v>10</v>
      </c>
      <c r="E36" s="156"/>
    </row>
    <row r="37" spans="1:5" ht="13.5" thickBot="1">
      <c r="A37" s="124" t="s">
        <v>75</v>
      </c>
      <c r="B37" s="157"/>
      <c r="D37" s="225">
        <f>MAX(C28:C35)</f>
        <v>5.206373939701221</v>
      </c>
      <c r="E37" s="156"/>
    </row>
    <row r="38" spans="1:5" ht="14.25" thickBot="1" thickTop="1">
      <c r="A38" s="158" t="s">
        <v>89</v>
      </c>
      <c r="B38" s="159" t="str">
        <f>IF(MIN(B28:B35)&lt;0,"INPUT ERROR (negative statistics) !!"," ")</f>
        <v> </v>
      </c>
      <c r="C38" s="160"/>
      <c r="D38" s="160"/>
      <c r="E38" s="161"/>
    </row>
    <row r="39" ht="13.5" thickTop="1"/>
  </sheetData>
  <sheetProtection password="C550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 association cross tabulations</dc:title>
  <dc:subject>Statistics contingency tables</dc:subject>
  <dc:creator>W.M. Kalmijn</dc:creator>
  <cp:keywords/>
  <dc:description/>
  <cp:lastModifiedBy>Ruut Veenhoven</cp:lastModifiedBy>
  <cp:lastPrinted>2004-01-29T11:43:32Z</cp:lastPrinted>
  <dcterms:created xsi:type="dcterms:W3CDTF">1998-04-04T15:59:32Z</dcterms:created>
  <dcterms:modified xsi:type="dcterms:W3CDTF">2023-11-27T14:25:16Z</dcterms:modified>
  <cp:category>Statistics WDH;contingency tables;correlates</cp:category>
  <cp:version/>
  <cp:contentType/>
  <cp:contentStatus/>
</cp:coreProperties>
</file>