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810" windowWidth="6540" windowHeight="5010" activeTab="0"/>
  </bookViews>
  <sheets>
    <sheet name="Frequencies" sheetId="1" r:id="rId1"/>
    <sheet name="Percentages" sheetId="2" r:id="rId2"/>
    <sheet name="Transformation" sheetId="3" r:id="rId3"/>
  </sheets>
  <definedNames>
    <definedName name="_Regression_Int" localSheetId="0" hidden="1">1</definedName>
    <definedName name="_xlnm.Print_Area" localSheetId="0">'Frequencies'!$A$52:$I$95</definedName>
    <definedName name="_xlnm.Print_Area" localSheetId="1">'Percentages'!$A$20:$H$87</definedName>
    <definedName name="Z_2749C4E0_9C8F_11D5_BDFF_00AA0035DD5E_.wvu.PrintArea" localSheetId="0" hidden="1">'Frequencies'!$A$52:$I$139</definedName>
  </definedNames>
  <calcPr fullCalcOnLoad="1"/>
</workbook>
</file>

<file path=xl/sharedStrings.xml><?xml version="1.0" encoding="utf-8"?>
<sst xmlns="http://schemas.openxmlformats.org/spreadsheetml/2006/main" count="297" uniqueCount="184">
  <si>
    <t>score</t>
  </si>
  <si>
    <t>transf.</t>
  </si>
  <si>
    <t>W.M. Kalmijn</t>
  </si>
  <si>
    <t>Features of this programme:</t>
  </si>
  <si>
    <t>1.   This programme computes the mean and the standard deviation of  a distribution</t>
  </si>
  <si>
    <t>INPUT</t>
  </si>
  <si>
    <t xml:space="preserve">   Untransformed scores</t>
  </si>
  <si>
    <t xml:space="preserve">      Transformed scores</t>
  </si>
  <si>
    <t>Untransformed</t>
  </si>
  <si>
    <t>scores</t>
  </si>
  <si>
    <t>Transformed</t>
  </si>
  <si>
    <t xml:space="preserve">Average value =   </t>
  </si>
  <si>
    <t xml:space="preserve">      The other sheet performs the same calculations on the basis of absolute frequencies.</t>
  </si>
  <si>
    <t>2.   This sheet of the programme uses the absolute frequencies as input data.</t>
  </si>
  <si>
    <t xml:space="preserve">       Such errors make the output unreliable.</t>
  </si>
  <si>
    <t xml:space="preserve">  Untransformed scores</t>
  </si>
  <si>
    <t xml:space="preserve">   Transformed scores</t>
  </si>
  <si>
    <t xml:space="preserve">    SHEET 1    INPUT:  ABSOLUTE  FREQUENCIES.</t>
  </si>
  <si>
    <t xml:space="preserve">      Although  happiness scores are essentially measurements at the ordinal level,</t>
  </si>
  <si>
    <t xml:space="preserve">      this programme treats those scores as metric ones.</t>
  </si>
  <si>
    <t xml:space="preserve">       the transformed scores.  However, for the variance and the standard deviation</t>
  </si>
  <si>
    <t xml:space="preserve">       similar statements do not necessarily hold.</t>
  </si>
  <si>
    <t>For further information see sheet nr. 1 (FREQUENCIES)</t>
  </si>
  <si>
    <t>Percentage</t>
  </si>
  <si>
    <t>calculated</t>
  </si>
  <si>
    <t>rounded</t>
  </si>
  <si>
    <t>SUM</t>
  </si>
  <si>
    <t>CALCULATIONS:</t>
  </si>
  <si>
    <t>REVERSED SCALE STATISTICS:</t>
  </si>
  <si>
    <t>SCORE DISTRIBUTION:</t>
  </si>
  <si>
    <t>Score</t>
  </si>
  <si>
    <t>original</t>
  </si>
  <si>
    <t>scale</t>
  </si>
  <si>
    <t>Absolute</t>
  </si>
  <si>
    <t>frequencies</t>
  </si>
  <si>
    <t>Please insert percentages in appropriate yellow cells below:</t>
  </si>
  <si>
    <t>transformed</t>
  </si>
  <si>
    <t>4.    The programme also computes the above statistics for the scores after linear</t>
  </si>
  <si>
    <t>Contr.to Sum</t>
  </si>
  <si>
    <t xml:space="preserve">       and the maximum possible happiness level respectively.</t>
  </si>
  <si>
    <t>Score on</t>
  </si>
  <si>
    <t xml:space="preserve">       transformation onto a [0;10] scale, where  0 en 10 correspond with the minimum </t>
  </si>
  <si>
    <t>FEATURES  OF  THIS  PROGRAMME:</t>
  </si>
  <si>
    <t>MESSAGES:</t>
  </si>
  <si>
    <t xml:space="preserve">     HAPPINESS</t>
  </si>
  <si>
    <t xml:space="preserve">Variance  =   </t>
  </si>
  <si>
    <t xml:space="preserve">Standard deviation  =   </t>
  </si>
  <si>
    <t xml:space="preserve">       (expressed as percentages) and - by preference also - the total number of </t>
  </si>
  <si>
    <t xml:space="preserve">       observations (N)  as input.</t>
  </si>
  <si>
    <t xml:space="preserve">Lower 95 % confidence limit for the mean =   </t>
  </si>
  <si>
    <t xml:space="preserve">Upper 95 % confidence limit for the mean =   </t>
  </si>
  <si>
    <t>NOTE 2: Due to rounding effects, the statistics  may be correct only approximately.</t>
  </si>
  <si>
    <t xml:space="preserve"> Value of N to be entered</t>
  </si>
  <si>
    <t xml:space="preserve">    MEANS AND STANDARD DEVIATIONS OF HAPPINESS SCORE DISTRIBUTIONS.</t>
  </si>
  <si>
    <t>Contr. to SS</t>
  </si>
  <si>
    <t>Contr. to Sum</t>
  </si>
  <si>
    <t>3.    For the mean score,  lower and upper 95 % confidence limits are computed,</t>
  </si>
  <si>
    <t xml:space="preserve">      The ouput includes the average value, the variance and and the standard deviation</t>
  </si>
  <si>
    <t xml:space="preserve">      as (estimates of the) parameters of of the distribution.</t>
  </si>
  <si>
    <t xml:space="preserve">       The transformed value of the average score is equal to the average value of the</t>
  </si>
  <si>
    <t>reversed</t>
  </si>
  <si>
    <t xml:space="preserve">    HAPPINESS</t>
  </si>
  <si>
    <t>Distribution parameter estimates:</t>
  </si>
  <si>
    <t>NOTE 1: Confidence limits are computed only if the values of both N and s are entered.</t>
  </si>
  <si>
    <t>1.   This sheet of the programme allows to transform estimates of the distribution</t>
  </si>
  <si>
    <t xml:space="preserve">      parameters to their corresponding values on a [0;10] score scale.</t>
  </si>
  <si>
    <t xml:space="preserve">      can be computed.</t>
  </si>
  <si>
    <t>Features of this part of the programme:</t>
  </si>
  <si>
    <t xml:space="preserve">STATISTICS (Distribution parameter estimates): </t>
  </si>
  <si>
    <t xml:space="preserve">       parameter estimates)  to the corresponding values on a [0;10] score scale, </t>
  </si>
  <si>
    <t>If the total number of observations is not given, but if all  correct absolute frequencies</t>
  </si>
  <si>
    <t>This value should be entered in the first yellow cell below this line.</t>
  </si>
  <si>
    <t xml:space="preserve">       A second sheet produces a similar output on the basis of relative frequencies</t>
  </si>
  <si>
    <t>OUTPUT:</t>
  </si>
  <si>
    <t xml:space="preserve"> in the appropriate yellow cells below:</t>
  </si>
  <si>
    <t xml:space="preserve"> only if available.</t>
  </si>
  <si>
    <t>INPUT  (continued):</t>
  </si>
  <si>
    <t xml:space="preserve"> Please insert the absolute frequencies</t>
  </si>
  <si>
    <t>INPUT:</t>
  </si>
  <si>
    <t>C. to  Sum</t>
  </si>
  <si>
    <t xml:space="preserve">        MEANS AND STANDARD DEVIATIONS OF HAPPINESS SCORE DISTRIBUTIONS.</t>
  </si>
  <si>
    <t>df</t>
  </si>
  <si>
    <t xml:space="preserve">  SHEET 3:  TRANSFORMATION   OF   DISTRIBUTION   PARAMETER   ESTIMATES.</t>
  </si>
  <si>
    <t xml:space="preserve">       - by preference also - the total absolute frequency (N) as data input. </t>
  </si>
  <si>
    <t>2.   If N is not known and not entered, no confidence limits for the mean can be computed.</t>
  </si>
  <si>
    <t>Highest possible score (max. 12)</t>
  </si>
  <si>
    <t>Highest possible score (max.12)</t>
  </si>
  <si>
    <t>Lowest possible score ( 0 or 1 )</t>
  </si>
  <si>
    <t>THE END</t>
  </si>
  <si>
    <t>Lowest possible score ( 0 or 1)</t>
  </si>
  <si>
    <t>Highest possible score (max.  12)</t>
  </si>
  <si>
    <t>Number of scale points on the scale :</t>
  </si>
  <si>
    <t>Value must be entered !</t>
  </si>
  <si>
    <t>Average value (mean):</t>
  </si>
  <si>
    <t>Standard deviation (s)</t>
  </si>
  <si>
    <t xml:space="preserve">                      Total number of observations (N)</t>
  </si>
  <si>
    <t xml:space="preserve">                           Happiness  scale  in use :</t>
  </si>
  <si>
    <t xml:space="preserve">                             Happiness  scale  in use:</t>
  </si>
  <si>
    <t xml:space="preserve">                               Happiness  scale  in use:</t>
  </si>
  <si>
    <t>REVERSE SCALE ?</t>
  </si>
  <si>
    <t xml:space="preserve">STATISTICS </t>
  </si>
  <si>
    <t xml:space="preserve">        and high scores for 'unhappy', the programme will revert the scale automatically.</t>
  </si>
  <si>
    <t xml:space="preserve">        I.e. the highest and the lowest possible scores of the scale are mutually interchanged.</t>
  </si>
  <si>
    <t xml:space="preserve">6.    The programme gives the distribution of the scores in percentages on either the </t>
  </si>
  <si>
    <t xml:space="preserve">       original or the reversed scale.</t>
  </si>
  <si>
    <t xml:space="preserve">       including the reversion option.</t>
  </si>
  <si>
    <t>5.     If the author of a publication has used a happiness scale with low scores for 'happy'</t>
  </si>
  <si>
    <t xml:space="preserve">        It is necessary to indicate this need at the input stage (Reversion N/Y  = 0/1).</t>
  </si>
  <si>
    <t>(Distribution parameter estimates):</t>
  </si>
  <si>
    <t xml:space="preserve">REVERSE SCALE  ?  </t>
  </si>
  <si>
    <t>STATISTICS:</t>
  </si>
  <si>
    <t>(Distribution parameter estimates)</t>
  </si>
  <si>
    <t xml:space="preserve">       provided  the values of both N and  the standard deviation are available.</t>
  </si>
  <si>
    <t xml:space="preserve"> ( NO = 0;  YES = 1)</t>
  </si>
  <si>
    <t>( NO = 0; YES = 1)</t>
  </si>
  <si>
    <t>STATISTICS</t>
  </si>
  <si>
    <t>2.   The program also allows to reverse the scale of measurement, if necessary.</t>
  </si>
  <si>
    <t xml:space="preserve">3.   Only if both N and s are known and entered, confidence limits for the distribution mean </t>
  </si>
  <si>
    <t xml:space="preserve">Checks:   </t>
  </si>
  <si>
    <t>To be entered only if available.</t>
  </si>
  <si>
    <t>DK/NA</t>
  </si>
  <si>
    <t xml:space="preserve">     ("don't know"/"no answer")</t>
  </si>
  <si>
    <t xml:space="preserve">               Percentage (rounded)</t>
  </si>
  <si>
    <t xml:space="preserve">  VALID CASES ONLY !</t>
  </si>
  <si>
    <t>N = Sum of entered absolute frequencies (incl. DK/NA):</t>
  </si>
  <si>
    <t>of all scores and that of DK/NA ("don't know"/"no answer") have been entered correctly,</t>
  </si>
  <si>
    <t xml:space="preserve">      of happiness scores on the basis of all valid scores, ignoring  DK/NA.</t>
  </si>
  <si>
    <t>Total number of observations, incl. DK/NA responses (N)</t>
  </si>
  <si>
    <t>Absolute frequency (number) of DK/NA responses</t>
  </si>
  <si>
    <t>Value of N to be entered below only if available.</t>
  </si>
  <si>
    <t>Percentage  of DK/NA ("don't know"/"no answer") responses</t>
  </si>
  <si>
    <t xml:space="preserve">    Valid percentages</t>
  </si>
  <si>
    <t>(excl. DK/NA responses)</t>
  </si>
  <si>
    <t xml:space="preserve">   Absolute frequencies</t>
  </si>
  <si>
    <t xml:space="preserve">  or</t>
  </si>
  <si>
    <t xml:space="preserve"> (valid frequencies only)</t>
  </si>
  <si>
    <t>% DK/NA</t>
  </si>
  <si>
    <t xml:space="preserve">Check: sum of all valid percentages:  </t>
  </si>
  <si>
    <t>Check:</t>
  </si>
  <si>
    <t>Sum of all valid</t>
  </si>
  <si>
    <t xml:space="preserve"> percentages =</t>
  </si>
  <si>
    <t>Percentage (rounded)</t>
  </si>
  <si>
    <t>Valid percentages only !</t>
  </si>
  <si>
    <t xml:space="preserve">Standard error of the average  =   </t>
  </si>
  <si>
    <t>upper 95 % confidence limit</t>
  </si>
  <si>
    <t>lower 95 % confidence limit</t>
  </si>
  <si>
    <r>
      <t xml:space="preserve"> IAH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value  </t>
    </r>
  </si>
  <si>
    <t>IAH is calculated only if N &gt; 99.</t>
  </si>
  <si>
    <t>IAH is calculated only if N &gt; 99 and an s-value &gt; 0,05 are entered.</t>
  </si>
  <si>
    <t>the programme computes the total number of observations (N) as</t>
  </si>
  <si>
    <t>[0;10] scores</t>
  </si>
  <si>
    <t xml:space="preserve">         SHEET 2  INPUT:  RELATIVE  FREQUENCIES (PERCENTAGES).</t>
  </si>
  <si>
    <t>[0;10]  scores</t>
  </si>
  <si>
    <t xml:space="preserve">       This is done using orthogonal projection on the "long axis" with "equal weights".</t>
  </si>
  <si>
    <t xml:space="preserve">       computed (expressed in 95% confidence limits for its true but unknown value).</t>
  </si>
  <si>
    <t>9.    Some input errors are detected and give rise to a warning message.</t>
  </si>
  <si>
    <t xml:space="preserve">Total number of observations (N)  </t>
  </si>
  <si>
    <t>7.    For N&gt;99, it also computes the value of the IAH-index (Inequality-adjusted happiness).</t>
  </si>
  <si>
    <t xml:space="preserve">       If the standard deviation is given or computable, also the precision of the index is </t>
  </si>
  <si>
    <r>
      <t>IAH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value      </t>
    </r>
  </si>
  <si>
    <t>Sum of entered 'valid' percentages:</t>
  </si>
  <si>
    <t>INEQUALITY-ADJUSTED HAPPINESS:</t>
  </si>
  <si>
    <r>
      <t>IAH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value     </t>
    </r>
  </si>
  <si>
    <t>INEQUALITY-ADJUSTED HAPPINESS</t>
  </si>
  <si>
    <t xml:space="preserve">      This also applies to the value of the IAH index, which requires N &gt;99.</t>
  </si>
  <si>
    <t xml:space="preserve">1.   This sheet of the programme uses the relative frequencies (as percentages) and </t>
  </si>
  <si>
    <t>INEQUALITY-ADJUSTED HAPPINESS.</t>
  </si>
  <si>
    <t>Sum of entered  'valid'  absolute frequencies:</t>
  </si>
  <si>
    <t>8.    A third sheet ("Transformation") allows to transform reported statistics (distribution</t>
  </si>
  <si>
    <t>10.  Only the (yellow) input cells are unprotected.</t>
  </si>
  <si>
    <t>'REVERSED' SCALE? (No=0,Yes=1)</t>
  </si>
  <si>
    <t xml:space="preserve">Total number of valid (i.e.excluding DK/NA)responses </t>
  </si>
  <si>
    <t xml:space="preserve">Variance (n-1) =   </t>
  </si>
  <si>
    <r>
      <t>s</t>
    </r>
    <r>
      <rPr>
        <sz val="10"/>
        <rFont val="Verdana"/>
        <family val="2"/>
      </rPr>
      <t>²</t>
    </r>
    <r>
      <rPr>
        <sz val="10"/>
        <rFont val="Arial"/>
        <family val="2"/>
      </rPr>
      <t>(n-1)</t>
    </r>
  </si>
  <si>
    <r>
      <t>s</t>
    </r>
    <r>
      <rPr>
        <sz val="10"/>
        <rFont val="Arial"/>
        <family val="2"/>
      </rPr>
      <t>(n-1)</t>
    </r>
  </si>
  <si>
    <r>
      <t>s</t>
    </r>
    <r>
      <rPr>
        <sz val="10"/>
        <rFont val="Verdana"/>
        <family val="2"/>
      </rPr>
      <t>²</t>
    </r>
    <r>
      <rPr>
        <sz val="10"/>
        <rFont val="Arial"/>
        <family val="2"/>
      </rPr>
      <t>(n)</t>
    </r>
  </si>
  <si>
    <r>
      <t>s</t>
    </r>
    <r>
      <rPr>
        <sz val="10"/>
        <rFont val="Arial"/>
        <family val="2"/>
      </rPr>
      <t>(n)</t>
    </r>
  </si>
  <si>
    <t>2006-09-20</t>
  </si>
  <si>
    <t xml:space="preserve">Variance (n-1)  =   </t>
  </si>
  <si>
    <t>UNPROTECTED AREA FOR CALCULATIONS</t>
  </si>
  <si>
    <t>20.07</t>
  </si>
  <si>
    <t>55.39</t>
  </si>
  <si>
    <t>21.92</t>
  </si>
  <si>
    <t>02.62</t>
  </si>
</sst>
</file>

<file path=xl/styles.xml><?xml version="1.0" encoding="utf-8"?>
<styleSheet xmlns="http://schemas.openxmlformats.org/spreadsheetml/2006/main">
  <numFmts count="4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l&quot;\ #,##0_);\(&quot;fl&quot;\ #,##0\)"/>
    <numFmt numFmtId="179" formatCode="&quot;fl&quot;\ #,##0_);[Red]\(&quot;fl&quot;\ #,##0\)"/>
    <numFmt numFmtId="180" formatCode="&quot;fl&quot;\ #,##0.00_);\(&quot;fl&quot;\ #,##0.00\)"/>
    <numFmt numFmtId="181" formatCode="&quot;fl&quot;\ #,##0.00_);[Red]\(&quot;fl&quot;\ #,##0.00\)"/>
    <numFmt numFmtId="182" formatCode="_(&quot;fl&quot;\ * #,##0_);_(&quot;fl&quot;\ * \(#,##0\);_(&quot;fl&quot;\ * &quot;-&quot;_);_(@_)"/>
    <numFmt numFmtId="183" formatCode="_(* #,##0_);_(* \(#,##0\);_(* &quot;-&quot;_);_(@_)"/>
    <numFmt numFmtId="184" formatCode="_(&quot;fl&quot;\ * #,##0.00_);_(&quot;fl&quot;\ * \(#,##0.00\);_(&quot;fl&quot;\ * &quot;-&quot;??_);_(@_)"/>
    <numFmt numFmtId="185" formatCode="_(* #,##0.00_);_(* \(#,##0.00\);_(* &quot;-&quot;??_);_(@_)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;;"/>
    <numFmt numFmtId="193" formatCode="0.0"/>
    <numFmt numFmtId="194" formatCode="d/mmm/yyyy"/>
    <numFmt numFmtId="195" formatCode="[$-413]dddd\ d\ mmmm\ yyyy"/>
  </numFmts>
  <fonts count="64">
    <font>
      <sz val="10"/>
      <name val="Courier"/>
      <family val="0"/>
    </font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34"/>
      <name val="Arial"/>
      <family val="2"/>
    </font>
    <font>
      <sz val="10"/>
      <color indexed="3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9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b/>
      <sz val="10"/>
      <color indexed="9"/>
      <name val="Courier"/>
      <family val="3"/>
    </font>
    <font>
      <b/>
      <sz val="10"/>
      <color indexed="9"/>
      <name val="Arial"/>
      <family val="2"/>
    </font>
    <font>
      <b/>
      <sz val="10"/>
      <color indexed="11"/>
      <name val="Arial"/>
      <family val="2"/>
    </font>
    <font>
      <u val="single"/>
      <sz val="10"/>
      <color indexed="12"/>
      <name val="Arial"/>
      <family val="2"/>
    </font>
    <font>
      <b/>
      <u val="single"/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9"/>
      <name val="Arial"/>
      <family val="2"/>
    </font>
    <font>
      <vertAlign val="subscript"/>
      <sz val="10"/>
      <name val="Arial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color indexed="9"/>
      <name val="Arial Narrow"/>
      <family val="2"/>
    </font>
    <font>
      <sz val="10"/>
      <name val="Verdana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1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2" fontId="1" fillId="0" borderId="16" xfId="0" applyNumberFormat="1" applyFont="1" applyBorder="1" applyAlignment="1" applyProtection="1">
      <alignment/>
      <protection/>
    </xf>
    <xf numFmtId="2" fontId="1" fillId="0" borderId="12" xfId="0" applyNumberFormat="1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horizontal="left"/>
      <protection/>
    </xf>
    <xf numFmtId="0" fontId="8" fillId="0" borderId="0" xfId="0" applyNumberFormat="1" applyFont="1" applyBorder="1" applyAlignment="1" applyProtection="1">
      <alignment horizontal="left"/>
      <protection/>
    </xf>
    <xf numFmtId="0" fontId="5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left"/>
      <protection/>
    </xf>
    <xf numFmtId="49" fontId="6" fillId="0" borderId="21" xfId="0" applyNumberFormat="1" applyFont="1" applyBorder="1" applyAlignment="1" applyProtection="1">
      <alignment horizontal="left"/>
      <protection/>
    </xf>
    <xf numFmtId="49" fontId="1" fillId="0" borderId="22" xfId="0" applyNumberFormat="1" applyFont="1" applyFill="1" applyBorder="1" applyAlignment="1" applyProtection="1">
      <alignment horizontal="left"/>
      <protection/>
    </xf>
    <xf numFmtId="49" fontId="1" fillId="0" borderId="23" xfId="0" applyNumberFormat="1" applyFont="1" applyFill="1" applyBorder="1" applyAlignment="1" applyProtection="1">
      <alignment horizontal="left"/>
      <protection/>
    </xf>
    <xf numFmtId="2" fontId="1" fillId="33" borderId="24" xfId="0" applyNumberFormat="1" applyFont="1" applyFill="1" applyBorder="1" applyAlignment="1" applyProtection="1">
      <alignment horizontal="center"/>
      <protection/>
    </xf>
    <xf numFmtId="2" fontId="1" fillId="33" borderId="12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/>
      <protection/>
    </xf>
    <xf numFmtId="2" fontId="1" fillId="33" borderId="25" xfId="0" applyNumberFormat="1" applyFont="1" applyFill="1" applyBorder="1" applyAlignment="1" applyProtection="1">
      <alignment horizontal="center"/>
      <protection/>
    </xf>
    <xf numFmtId="0" fontId="3" fillId="34" borderId="26" xfId="0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27" xfId="0" applyNumberFormat="1" applyFont="1" applyFill="1" applyBorder="1" applyAlignment="1" applyProtection="1">
      <alignment horizontal="left"/>
      <protection/>
    </xf>
    <xf numFmtId="0" fontId="5" fillId="0" borderId="28" xfId="0" applyFont="1" applyBorder="1" applyAlignment="1" applyProtection="1">
      <alignment horizontal="center"/>
      <protection/>
    </xf>
    <xf numFmtId="2" fontId="1" fillId="0" borderId="29" xfId="0" applyNumberFormat="1" applyFont="1" applyBorder="1" applyAlignment="1" applyProtection="1">
      <alignment/>
      <protection/>
    </xf>
    <xf numFmtId="2" fontId="1" fillId="33" borderId="30" xfId="0" applyNumberFormat="1" applyFont="1" applyFill="1" applyBorder="1" applyAlignment="1" applyProtection="1">
      <alignment horizontal="center"/>
      <protection/>
    </xf>
    <xf numFmtId="2" fontId="1" fillId="33" borderId="31" xfId="0" applyNumberFormat="1" applyFont="1" applyFill="1" applyBorder="1" applyAlignment="1" applyProtection="1">
      <alignment horizontal="center"/>
      <protection/>
    </xf>
    <xf numFmtId="2" fontId="1" fillId="33" borderId="29" xfId="0" applyNumberFormat="1" applyFont="1" applyFill="1" applyBorder="1" applyAlignment="1" applyProtection="1">
      <alignment horizontal="center"/>
      <protection/>
    </xf>
    <xf numFmtId="0" fontId="1" fillId="0" borderId="32" xfId="0" applyFont="1" applyFill="1" applyBorder="1" applyAlignment="1" applyProtection="1">
      <alignment/>
      <protection/>
    </xf>
    <xf numFmtId="0" fontId="1" fillId="34" borderId="33" xfId="0" applyFont="1" applyFill="1" applyBorder="1" applyAlignment="1" applyProtection="1">
      <alignment/>
      <protection/>
    </xf>
    <xf numFmtId="0" fontId="4" fillId="34" borderId="33" xfId="0" applyFont="1" applyFill="1" applyBorder="1" applyAlignment="1" applyProtection="1">
      <alignment/>
      <protection/>
    </xf>
    <xf numFmtId="0" fontId="4" fillId="34" borderId="34" xfId="0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1" fillId="0" borderId="36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7" fillId="0" borderId="35" xfId="0" applyFont="1" applyBorder="1" applyAlignment="1" applyProtection="1">
      <alignment/>
      <protection/>
    </xf>
    <xf numFmtId="0" fontId="1" fillId="0" borderId="37" xfId="0" applyFont="1" applyBorder="1" applyAlignment="1" applyProtection="1">
      <alignment/>
      <protection/>
    </xf>
    <xf numFmtId="0" fontId="1" fillId="0" borderId="38" xfId="0" applyFont="1" applyBorder="1" applyAlignment="1" applyProtection="1">
      <alignment/>
      <protection/>
    </xf>
    <xf numFmtId="0" fontId="1" fillId="0" borderId="39" xfId="0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/>
      <protection/>
    </xf>
    <xf numFmtId="49" fontId="1" fillId="0" borderId="23" xfId="0" applyNumberFormat="1" applyFont="1" applyBorder="1" applyAlignment="1" applyProtection="1">
      <alignment/>
      <protection/>
    </xf>
    <xf numFmtId="49" fontId="1" fillId="0" borderId="40" xfId="0" applyNumberFormat="1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/>
      <protection/>
    </xf>
    <xf numFmtId="192" fontId="2" fillId="0" borderId="35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41" xfId="0" applyFont="1" applyBorder="1" applyAlignment="1" applyProtection="1">
      <alignment horizontal="center"/>
      <protection/>
    </xf>
    <xf numFmtId="0" fontId="0" fillId="0" borderId="35" xfId="0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right"/>
      <protection/>
    </xf>
    <xf numFmtId="0" fontId="0" fillId="0" borderId="36" xfId="0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/>
      <protection/>
    </xf>
    <xf numFmtId="0" fontId="1" fillId="35" borderId="42" xfId="0" applyFont="1" applyFill="1" applyBorder="1" applyAlignment="1" applyProtection="1">
      <alignment horizontal="center"/>
      <protection locked="0"/>
    </xf>
    <xf numFmtId="0" fontId="1" fillId="35" borderId="43" xfId="0" applyFont="1" applyFill="1" applyBorder="1" applyAlignment="1" applyProtection="1">
      <alignment horizontal="center"/>
      <protection locked="0"/>
    </xf>
    <xf numFmtId="0" fontId="8" fillId="0" borderId="44" xfId="0" applyNumberFormat="1" applyFont="1" applyBorder="1" applyAlignment="1" applyProtection="1">
      <alignment horizontal="left"/>
      <protection/>
    </xf>
    <xf numFmtId="49" fontId="9" fillId="0" borderId="13" xfId="0" applyNumberFormat="1" applyFont="1" applyBorder="1" applyAlignment="1" applyProtection="1">
      <alignment/>
      <protection/>
    </xf>
    <xf numFmtId="49" fontId="9" fillId="0" borderId="45" xfId="0" applyNumberFormat="1" applyFont="1" applyFill="1" applyBorder="1" applyAlignment="1" applyProtection="1">
      <alignment horizontal="center"/>
      <protection/>
    </xf>
    <xf numFmtId="0" fontId="8" fillId="0" borderId="20" xfId="0" applyNumberFormat="1" applyFont="1" applyBorder="1" applyAlignment="1" applyProtection="1">
      <alignment horizontal="left"/>
      <protection/>
    </xf>
    <xf numFmtId="49" fontId="9" fillId="0" borderId="46" xfId="0" applyNumberFormat="1" applyFont="1" applyFill="1" applyBorder="1" applyAlignment="1" applyProtection="1">
      <alignment horizontal="center"/>
      <protection/>
    </xf>
    <xf numFmtId="0" fontId="8" fillId="0" borderId="47" xfId="0" applyNumberFormat="1" applyFont="1" applyBorder="1" applyAlignment="1" applyProtection="1">
      <alignment horizontal="left"/>
      <protection/>
    </xf>
    <xf numFmtId="49" fontId="9" fillId="0" borderId="14" xfId="0" applyNumberFormat="1" applyFont="1" applyBorder="1" applyAlignment="1" applyProtection="1">
      <alignment/>
      <protection/>
    </xf>
    <xf numFmtId="49" fontId="9" fillId="0" borderId="48" xfId="0" applyNumberFormat="1" applyFont="1" applyFill="1" applyBorder="1" applyAlignment="1" applyProtection="1">
      <alignment horizontal="center"/>
      <protection/>
    </xf>
    <xf numFmtId="14" fontId="1" fillId="0" borderId="10" xfId="0" applyNumberFormat="1" applyFont="1" applyBorder="1" applyAlignment="1" applyProtection="1">
      <alignment horizontal="right"/>
      <protection/>
    </xf>
    <xf numFmtId="0" fontId="5" fillId="0" borderId="37" xfId="0" applyFont="1" applyBorder="1" applyAlignment="1" applyProtection="1">
      <alignment horizontal="center"/>
      <protection/>
    </xf>
    <xf numFmtId="0" fontId="5" fillId="0" borderId="49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2" fontId="1" fillId="0" borderId="32" xfId="0" applyNumberFormat="1" applyFont="1" applyFill="1" applyBorder="1" applyAlignment="1" applyProtection="1">
      <alignment/>
      <protection/>
    </xf>
    <xf numFmtId="2" fontId="1" fillId="0" borderId="50" xfId="0" applyNumberFormat="1" applyFont="1" applyFill="1" applyBorder="1" applyAlignment="1" applyProtection="1">
      <alignment/>
      <protection/>
    </xf>
    <xf numFmtId="0" fontId="10" fillId="0" borderId="35" xfId="0" applyFont="1" applyBorder="1" applyAlignment="1" applyProtection="1">
      <alignment/>
      <protection/>
    </xf>
    <xf numFmtId="0" fontId="1" fillId="0" borderId="46" xfId="0" applyFont="1" applyBorder="1" applyAlignment="1" applyProtection="1">
      <alignment/>
      <protection/>
    </xf>
    <xf numFmtId="2" fontId="1" fillId="0" borderId="24" xfId="0" applyNumberFormat="1" applyFont="1" applyBorder="1" applyAlignment="1" applyProtection="1">
      <alignment/>
      <protection/>
    </xf>
    <xf numFmtId="1" fontId="1" fillId="0" borderId="43" xfId="0" applyNumberFormat="1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" fillId="0" borderId="51" xfId="0" applyFont="1" applyBorder="1" applyAlignment="1" applyProtection="1">
      <alignment/>
      <protection/>
    </xf>
    <xf numFmtId="0" fontId="5" fillId="0" borderId="52" xfId="0" applyFont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49" fontId="1" fillId="0" borderId="53" xfId="0" applyNumberFormat="1" applyFont="1" applyBorder="1" applyAlignment="1" applyProtection="1">
      <alignment horizontal="right"/>
      <protection/>
    </xf>
    <xf numFmtId="49" fontId="1" fillId="0" borderId="54" xfId="0" applyNumberFormat="1" applyFont="1" applyBorder="1" applyAlignment="1" applyProtection="1">
      <alignment horizontal="right"/>
      <protection/>
    </xf>
    <xf numFmtId="1" fontId="1" fillId="33" borderId="55" xfId="0" applyNumberFormat="1" applyFont="1" applyFill="1" applyBorder="1" applyAlignment="1" applyProtection="1">
      <alignment horizontal="center"/>
      <protection/>
    </xf>
    <xf numFmtId="1" fontId="1" fillId="33" borderId="15" xfId="0" applyNumberFormat="1" applyFont="1" applyFill="1" applyBorder="1" applyAlignment="1" applyProtection="1">
      <alignment horizontal="center"/>
      <protection/>
    </xf>
    <xf numFmtId="0" fontId="1" fillId="0" borderId="56" xfId="0" applyFont="1" applyBorder="1" applyAlignment="1" applyProtection="1">
      <alignment/>
      <protection/>
    </xf>
    <xf numFmtId="0" fontId="1" fillId="0" borderId="57" xfId="0" applyFont="1" applyBorder="1" applyAlignment="1" applyProtection="1">
      <alignment/>
      <protection/>
    </xf>
    <xf numFmtId="0" fontId="1" fillId="0" borderId="58" xfId="0" applyFont="1" applyBorder="1" applyAlignment="1" applyProtection="1">
      <alignment/>
      <protection/>
    </xf>
    <xf numFmtId="0" fontId="1" fillId="0" borderId="59" xfId="0" applyFont="1" applyBorder="1" applyAlignment="1" applyProtection="1">
      <alignment horizontal="center"/>
      <protection/>
    </xf>
    <xf numFmtId="0" fontId="11" fillId="0" borderId="60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35" xfId="0" applyFont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44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/>
      <protection/>
    </xf>
    <xf numFmtId="0" fontId="9" fillId="0" borderId="0" xfId="0" applyFont="1" applyFill="1" applyBorder="1" applyAlignment="1">
      <alignment/>
    </xf>
    <xf numFmtId="0" fontId="6" fillId="0" borderId="47" xfId="0" applyFont="1" applyBorder="1" applyAlignment="1" applyProtection="1">
      <alignment horizontal="left"/>
      <protection/>
    </xf>
    <xf numFmtId="2" fontId="1" fillId="33" borderId="39" xfId="0" applyNumberFormat="1" applyFont="1" applyFill="1" applyBorder="1" applyAlignment="1" applyProtection="1">
      <alignment horizontal="center"/>
      <protection/>
    </xf>
    <xf numFmtId="0" fontId="12" fillId="36" borderId="21" xfId="0" applyFont="1" applyFill="1" applyBorder="1" applyAlignment="1" applyProtection="1">
      <alignment/>
      <protection/>
    </xf>
    <xf numFmtId="0" fontId="12" fillId="36" borderId="23" xfId="0" applyFont="1" applyFill="1" applyBorder="1" applyAlignment="1" applyProtection="1">
      <alignment/>
      <protection/>
    </xf>
    <xf numFmtId="0" fontId="12" fillId="36" borderId="23" xfId="0" applyFont="1" applyFill="1" applyBorder="1" applyAlignment="1" applyProtection="1">
      <alignment horizontal="right"/>
      <protection/>
    </xf>
    <xf numFmtId="0" fontId="12" fillId="36" borderId="23" xfId="0" applyFont="1" applyFill="1" applyBorder="1" applyAlignment="1">
      <alignment/>
    </xf>
    <xf numFmtId="0" fontId="13" fillId="36" borderId="27" xfId="0" applyFont="1" applyFill="1" applyBorder="1" applyAlignment="1" applyProtection="1">
      <alignment horizontal="right"/>
      <protection/>
    </xf>
    <xf numFmtId="0" fontId="13" fillId="0" borderId="0" xfId="0" applyFont="1" applyAlignment="1">
      <alignment/>
    </xf>
    <xf numFmtId="0" fontId="1" fillId="0" borderId="53" xfId="0" applyFont="1" applyBorder="1" applyAlignment="1">
      <alignment/>
    </xf>
    <xf numFmtId="49" fontId="1" fillId="0" borderId="61" xfId="0" applyNumberFormat="1" applyFont="1" applyFill="1" applyBorder="1" applyAlignment="1" applyProtection="1">
      <alignment horizontal="center"/>
      <protection/>
    </xf>
    <xf numFmtId="1" fontId="1" fillId="33" borderId="19" xfId="0" applyNumberFormat="1" applyFont="1" applyFill="1" applyBorder="1" applyAlignment="1" applyProtection="1">
      <alignment horizontal="center"/>
      <protection/>
    </xf>
    <xf numFmtId="1" fontId="1" fillId="33" borderId="62" xfId="0" applyNumberFormat="1" applyFont="1" applyFill="1" applyBorder="1" applyAlignment="1" applyProtection="1">
      <alignment horizontal="center"/>
      <protection/>
    </xf>
    <xf numFmtId="49" fontId="1" fillId="0" borderId="38" xfId="0" applyNumberFormat="1" applyFont="1" applyFill="1" applyBorder="1" applyAlignment="1" applyProtection="1">
      <alignment horizontal="center"/>
      <protection/>
    </xf>
    <xf numFmtId="0" fontId="1" fillId="0" borderId="54" xfId="0" applyFont="1" applyBorder="1" applyAlignment="1">
      <alignment/>
    </xf>
    <xf numFmtId="1" fontId="1" fillId="33" borderId="63" xfId="0" applyNumberFormat="1" applyFont="1" applyFill="1" applyBorder="1" applyAlignment="1" applyProtection="1">
      <alignment horizontal="center"/>
      <protection/>
    </xf>
    <xf numFmtId="49" fontId="1" fillId="0" borderId="64" xfId="0" applyNumberFormat="1" applyFont="1" applyFill="1" applyBorder="1" applyAlignment="1" applyProtection="1">
      <alignment horizontal="left"/>
      <protection/>
    </xf>
    <xf numFmtId="192" fontId="2" fillId="0" borderId="10" xfId="0" applyNumberFormat="1" applyFont="1" applyFill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8" fillId="0" borderId="56" xfId="0" applyNumberFormat="1" applyFont="1" applyBorder="1" applyAlignment="1" applyProtection="1">
      <alignment horizontal="left"/>
      <protection/>
    </xf>
    <xf numFmtId="0" fontId="1" fillId="0" borderId="13" xfId="0" applyFont="1" applyFill="1" applyBorder="1" applyAlignment="1" applyProtection="1">
      <alignment/>
      <protection/>
    </xf>
    <xf numFmtId="2" fontId="1" fillId="0" borderId="13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2" fontId="1" fillId="0" borderId="13" xfId="0" applyNumberFormat="1" applyFont="1" applyFill="1" applyBorder="1" applyAlignment="1" applyProtection="1">
      <alignment horizontal="center"/>
      <protection/>
    </xf>
    <xf numFmtId="1" fontId="1" fillId="0" borderId="13" xfId="0" applyNumberFormat="1" applyFont="1" applyFill="1" applyBorder="1" applyAlignment="1" applyProtection="1">
      <alignment/>
      <protection/>
    </xf>
    <xf numFmtId="192" fontId="2" fillId="0" borderId="17" xfId="0" applyNumberFormat="1" applyFont="1" applyFill="1" applyBorder="1" applyAlignment="1" applyProtection="1">
      <alignment/>
      <protection/>
    </xf>
    <xf numFmtId="192" fontId="11" fillId="0" borderId="60" xfId="0" applyNumberFormat="1" applyFont="1" applyFill="1" applyBorder="1" applyAlignment="1" applyProtection="1">
      <alignment/>
      <protection/>
    </xf>
    <xf numFmtId="49" fontId="1" fillId="0" borderId="44" xfId="0" applyNumberFormat="1" applyFont="1" applyFill="1" applyBorder="1" applyAlignment="1" applyProtection="1">
      <alignment horizontal="center"/>
      <protection/>
    </xf>
    <xf numFmtId="0" fontId="1" fillId="0" borderId="44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2" fontId="1" fillId="0" borderId="65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/>
      <protection/>
    </xf>
    <xf numFmtId="0" fontId="7" fillId="36" borderId="24" xfId="0" applyFont="1" applyFill="1" applyBorder="1" applyAlignment="1" applyProtection="1">
      <alignment horizontal="center"/>
      <protection/>
    </xf>
    <xf numFmtId="0" fontId="7" fillId="36" borderId="66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4" fillId="37" borderId="0" xfId="0" applyFont="1" applyFill="1" applyBorder="1" applyAlignment="1" applyProtection="1">
      <alignment horizontal="center"/>
      <protection/>
    </xf>
    <xf numFmtId="0" fontId="5" fillId="0" borderId="67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68" xfId="0" applyFont="1" applyFill="1" applyBorder="1" applyAlignment="1" applyProtection="1">
      <alignment/>
      <protection/>
    </xf>
    <xf numFmtId="0" fontId="1" fillId="0" borderId="69" xfId="0" applyFont="1" applyFill="1" applyBorder="1" applyAlignment="1" applyProtection="1">
      <alignment/>
      <protection/>
    </xf>
    <xf numFmtId="0" fontId="1" fillId="0" borderId="70" xfId="0" applyFont="1" applyFill="1" applyBorder="1" applyAlignment="1" applyProtection="1">
      <alignment/>
      <protection/>
    </xf>
    <xf numFmtId="0" fontId="1" fillId="0" borderId="55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35" xfId="0" applyFont="1" applyFill="1" applyBorder="1" applyAlignment="1" applyProtection="1">
      <alignment/>
      <protection/>
    </xf>
    <xf numFmtId="0" fontId="1" fillId="0" borderId="71" xfId="0" applyFont="1" applyBorder="1" applyAlignment="1" applyProtection="1">
      <alignment/>
      <protection/>
    </xf>
    <xf numFmtId="0" fontId="2" fillId="0" borderId="72" xfId="0" applyFont="1" applyBorder="1" applyAlignment="1" applyProtection="1">
      <alignment/>
      <protection/>
    </xf>
    <xf numFmtId="0" fontId="1" fillId="0" borderId="72" xfId="0" applyFont="1" applyBorder="1" applyAlignment="1" applyProtection="1">
      <alignment/>
      <protection/>
    </xf>
    <xf numFmtId="0" fontId="1" fillId="0" borderId="73" xfId="0" applyFont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1" fillId="35" borderId="24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>
      <alignment/>
    </xf>
    <xf numFmtId="0" fontId="1" fillId="35" borderId="55" xfId="0" applyFont="1" applyFill="1" applyBorder="1" applyAlignment="1" applyProtection="1">
      <alignment horizontal="center"/>
      <protection locked="0"/>
    </xf>
    <xf numFmtId="0" fontId="1" fillId="0" borderId="57" xfId="0" applyFont="1" applyBorder="1" applyAlignment="1">
      <alignment horizontal="left"/>
    </xf>
    <xf numFmtId="0" fontId="9" fillId="0" borderId="43" xfId="0" applyFont="1" applyFill="1" applyBorder="1" applyAlignment="1">
      <alignment/>
    </xf>
    <xf numFmtId="0" fontId="1" fillId="0" borderId="46" xfId="0" applyFont="1" applyFill="1" applyBorder="1" applyAlignment="1" applyProtection="1">
      <alignment/>
      <protection/>
    </xf>
    <xf numFmtId="0" fontId="1" fillId="0" borderId="74" xfId="0" applyFont="1" applyFill="1" applyBorder="1" applyAlignment="1" applyProtection="1">
      <alignment/>
      <protection/>
    </xf>
    <xf numFmtId="0" fontId="1" fillId="0" borderId="62" xfId="0" applyFont="1" applyFill="1" applyBorder="1" applyAlignment="1" applyProtection="1">
      <alignment/>
      <protection/>
    </xf>
    <xf numFmtId="0" fontId="9" fillId="0" borderId="74" xfId="0" applyFont="1" applyFill="1" applyBorder="1" applyAlignment="1">
      <alignment/>
    </xf>
    <xf numFmtId="0" fontId="10" fillId="0" borderId="53" xfId="0" applyFont="1" applyBorder="1" applyAlignment="1" applyProtection="1">
      <alignment horizontal="right"/>
      <protection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15" fillId="37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" fontId="1" fillId="33" borderId="75" xfId="0" applyNumberFormat="1" applyFont="1" applyFill="1" applyBorder="1" applyAlignment="1" applyProtection="1">
      <alignment horizontal="center"/>
      <protection/>
    </xf>
    <xf numFmtId="0" fontId="16" fillId="37" borderId="72" xfId="0" applyFont="1" applyFill="1" applyBorder="1" applyAlignment="1" applyProtection="1">
      <alignment/>
      <protection/>
    </xf>
    <xf numFmtId="1" fontId="1" fillId="33" borderId="24" xfId="0" applyNumberFormat="1" applyFont="1" applyFill="1" applyBorder="1" applyAlignment="1" applyProtection="1">
      <alignment horizontal="center"/>
      <protection/>
    </xf>
    <xf numFmtId="193" fontId="1" fillId="33" borderId="76" xfId="0" applyNumberFormat="1" applyFont="1" applyFill="1" applyBorder="1" applyAlignment="1" applyProtection="1">
      <alignment horizontal="center"/>
      <protection/>
    </xf>
    <xf numFmtId="193" fontId="1" fillId="33" borderId="70" xfId="0" applyNumberFormat="1" applyFont="1" applyFill="1" applyBorder="1" applyAlignment="1" applyProtection="1">
      <alignment horizontal="center"/>
      <protection/>
    </xf>
    <xf numFmtId="0" fontId="1" fillId="0" borderId="60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2" fontId="1" fillId="0" borderId="24" xfId="0" applyNumberFormat="1" applyFont="1" applyFill="1" applyBorder="1" applyAlignment="1" applyProtection="1">
      <alignment horizontal="center"/>
      <protection/>
    </xf>
    <xf numFmtId="2" fontId="1" fillId="0" borderId="31" xfId="0" applyNumberFormat="1" applyFont="1" applyFill="1" applyBorder="1" applyAlignment="1" applyProtection="1">
      <alignment horizontal="center"/>
      <protection/>
    </xf>
    <xf numFmtId="0" fontId="1" fillId="0" borderId="53" xfId="0" applyFont="1" applyFill="1" applyBorder="1" applyAlignment="1" applyProtection="1">
      <alignment/>
      <protection/>
    </xf>
    <xf numFmtId="49" fontId="1" fillId="0" borderId="53" xfId="0" applyNumberFormat="1" applyFont="1" applyFill="1" applyBorder="1" applyAlignment="1" applyProtection="1">
      <alignment horizontal="right"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/>
      <protection/>
    </xf>
    <xf numFmtId="0" fontId="6" fillId="0" borderId="61" xfId="0" applyFont="1" applyBorder="1" applyAlignment="1" applyProtection="1">
      <alignment horizontal="left"/>
      <protection/>
    </xf>
    <xf numFmtId="0" fontId="1" fillId="0" borderId="77" xfId="0" applyFont="1" applyBorder="1" applyAlignment="1" applyProtection="1">
      <alignment/>
      <protection/>
    </xf>
    <xf numFmtId="0" fontId="1" fillId="0" borderId="64" xfId="0" applyFont="1" applyBorder="1" applyAlignment="1" applyProtection="1">
      <alignment/>
      <protection/>
    </xf>
    <xf numFmtId="0" fontId="1" fillId="33" borderId="78" xfId="0" applyFont="1" applyFill="1" applyBorder="1" applyAlignment="1" applyProtection="1">
      <alignment horizontal="center"/>
      <protection/>
    </xf>
    <xf numFmtId="0" fontId="1" fillId="0" borderId="69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5" fillId="0" borderId="79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/>
      <protection/>
    </xf>
    <xf numFmtId="0" fontId="7" fillId="0" borderId="69" xfId="0" applyFont="1" applyFill="1" applyBorder="1" applyAlignment="1" applyProtection="1">
      <alignment horizontal="center"/>
      <protection locked="0"/>
    </xf>
    <xf numFmtId="0" fontId="7" fillId="0" borderId="69" xfId="0" applyFont="1" applyFill="1" applyBorder="1" applyAlignment="1">
      <alignment horizontal="right"/>
    </xf>
    <xf numFmtId="0" fontId="11" fillId="0" borderId="35" xfId="0" applyFont="1" applyBorder="1" applyAlignment="1">
      <alignment/>
    </xf>
    <xf numFmtId="0" fontId="0" fillId="38" borderId="80" xfId="0" applyFill="1" applyBorder="1" applyAlignment="1" applyProtection="1">
      <alignment/>
      <protection/>
    </xf>
    <xf numFmtId="49" fontId="1" fillId="38" borderId="23" xfId="0" applyNumberFormat="1" applyFont="1" applyFill="1" applyBorder="1" applyAlignment="1" applyProtection="1">
      <alignment/>
      <protection/>
    </xf>
    <xf numFmtId="49" fontId="1" fillId="38" borderId="23" xfId="0" applyNumberFormat="1" applyFont="1" applyFill="1" applyBorder="1" applyAlignment="1" applyProtection="1">
      <alignment horizontal="right"/>
      <protection/>
    </xf>
    <xf numFmtId="2" fontId="14" fillId="38" borderId="23" xfId="0" applyNumberFormat="1" applyFont="1" applyFill="1" applyBorder="1" applyAlignment="1" applyProtection="1">
      <alignment horizontal="center"/>
      <protection/>
    </xf>
    <xf numFmtId="0" fontId="1" fillId="38" borderId="23" xfId="0" applyFont="1" applyFill="1" applyBorder="1" applyAlignment="1" applyProtection="1">
      <alignment/>
      <protection/>
    </xf>
    <xf numFmtId="2" fontId="14" fillId="38" borderId="27" xfId="0" applyNumberFormat="1" applyFont="1" applyFill="1" applyBorder="1" applyAlignment="1" applyProtection="1">
      <alignment horizontal="center"/>
      <protection/>
    </xf>
    <xf numFmtId="0" fontId="1" fillId="0" borderId="66" xfId="0" applyFont="1" applyFill="1" applyBorder="1" applyAlignment="1" applyProtection="1">
      <alignment horizontal="center"/>
      <protection/>
    </xf>
    <xf numFmtId="0" fontId="1" fillId="38" borderId="23" xfId="0" applyFont="1" applyFill="1" applyBorder="1" applyAlignment="1" applyProtection="1">
      <alignment horizontal="center"/>
      <protection/>
    </xf>
    <xf numFmtId="49" fontId="1" fillId="0" borderId="81" xfId="0" applyNumberFormat="1" applyFont="1" applyFill="1" applyBorder="1" applyAlignment="1" applyProtection="1">
      <alignment horizontal="center"/>
      <protection/>
    </xf>
    <xf numFmtId="0" fontId="1" fillId="0" borderId="53" xfId="0" applyFont="1" applyBorder="1" applyAlignment="1">
      <alignment horizontal="left"/>
    </xf>
    <xf numFmtId="49" fontId="1" fillId="0" borderId="82" xfId="0" applyNumberFormat="1" applyFont="1" applyFill="1" applyBorder="1" applyAlignment="1" applyProtection="1">
      <alignment horizontal="center"/>
      <protection/>
    </xf>
    <xf numFmtId="0" fontId="1" fillId="0" borderId="54" xfId="0" applyFont="1" applyBorder="1" applyAlignment="1">
      <alignment horizontal="left"/>
    </xf>
    <xf numFmtId="49" fontId="1" fillId="0" borderId="83" xfId="0" applyNumberFormat="1" applyFont="1" applyFill="1" applyBorder="1" applyAlignment="1" applyProtection="1">
      <alignment horizontal="center"/>
      <protection/>
    </xf>
    <xf numFmtId="1" fontId="1" fillId="33" borderId="42" xfId="0" applyNumberFormat="1" applyFont="1" applyFill="1" applyBorder="1" applyAlignment="1" applyProtection="1">
      <alignment horizontal="center"/>
      <protection/>
    </xf>
    <xf numFmtId="1" fontId="1" fillId="33" borderId="43" xfId="0" applyNumberFormat="1" applyFont="1" applyFill="1" applyBorder="1" applyAlignment="1" applyProtection="1">
      <alignment horizontal="center"/>
      <protection/>
    </xf>
    <xf numFmtId="2" fontId="1" fillId="38" borderId="23" xfId="0" applyNumberFormat="1" applyFont="1" applyFill="1" applyBorder="1" applyAlignment="1" applyProtection="1">
      <alignment horizontal="center"/>
      <protection/>
    </xf>
    <xf numFmtId="2" fontId="1" fillId="38" borderId="27" xfId="0" applyNumberFormat="1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2" fontId="1" fillId="0" borderId="84" xfId="0" applyNumberFormat="1" applyFont="1" applyFill="1" applyBorder="1" applyAlignment="1" applyProtection="1">
      <alignment horizontal="center"/>
      <protection/>
    </xf>
    <xf numFmtId="2" fontId="1" fillId="0" borderId="85" xfId="0" applyNumberFormat="1" applyFont="1" applyFill="1" applyBorder="1" applyAlignment="1" applyProtection="1">
      <alignment horizontal="center"/>
      <protection/>
    </xf>
    <xf numFmtId="0" fontId="7" fillId="0" borderId="86" xfId="0" applyFont="1" applyFill="1" applyBorder="1" applyAlignment="1" applyProtection="1">
      <alignment/>
      <protection/>
    </xf>
    <xf numFmtId="0" fontId="14" fillId="37" borderId="0" xfId="0" applyFont="1" applyFill="1" applyBorder="1" applyAlignment="1" applyProtection="1">
      <alignment/>
      <protection/>
    </xf>
    <xf numFmtId="0" fontId="17" fillId="37" borderId="10" xfId="0" applyFont="1" applyFill="1" applyBorder="1" applyAlignment="1" applyProtection="1">
      <alignment horizontal="right"/>
      <protection/>
    </xf>
    <xf numFmtId="0" fontId="14" fillId="0" borderId="0" xfId="0" applyFont="1" applyFill="1" applyAlignment="1">
      <alignment/>
    </xf>
    <xf numFmtId="0" fontId="14" fillId="37" borderId="0" xfId="0" applyFont="1" applyFill="1" applyBorder="1" applyAlignment="1">
      <alignment/>
    </xf>
    <xf numFmtId="0" fontId="17" fillId="37" borderId="10" xfId="0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190" fontId="1" fillId="0" borderId="0" xfId="0" applyNumberFormat="1" applyFont="1" applyFill="1" applyBorder="1" applyAlignment="1" applyProtection="1">
      <alignment horizontal="left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" fillId="0" borderId="10" xfId="0" applyNumberFormat="1" applyFont="1" applyFill="1" applyBorder="1" applyAlignment="1" applyProtection="1">
      <alignment horizontal="center"/>
      <protection/>
    </xf>
    <xf numFmtId="2" fontId="1" fillId="33" borderId="87" xfId="0" applyNumberFormat="1" applyFont="1" applyFill="1" applyBorder="1" applyAlignment="1" applyProtection="1">
      <alignment horizontal="center"/>
      <protection/>
    </xf>
    <xf numFmtId="2" fontId="1" fillId="0" borderId="46" xfId="0" applyNumberFormat="1" applyFont="1" applyFill="1" applyBorder="1" applyAlignment="1" applyProtection="1">
      <alignment horizontal="center"/>
      <protection/>
    </xf>
    <xf numFmtId="2" fontId="1" fillId="33" borderId="53" xfId="0" applyNumberFormat="1" applyFont="1" applyFill="1" applyBorder="1" applyAlignment="1" applyProtection="1">
      <alignment/>
      <protection/>
    </xf>
    <xf numFmtId="1" fontId="1" fillId="33" borderId="82" xfId="0" applyNumberFormat="1" applyFont="1" applyFill="1" applyBorder="1" applyAlignment="1" applyProtection="1">
      <alignment/>
      <protection/>
    </xf>
    <xf numFmtId="1" fontId="1" fillId="0" borderId="81" xfId="0" applyNumberFormat="1" applyFont="1" applyBorder="1" applyAlignment="1" applyProtection="1">
      <alignment/>
      <protection/>
    </xf>
    <xf numFmtId="2" fontId="1" fillId="0" borderId="14" xfId="0" applyNumberFormat="1" applyFont="1" applyFill="1" applyBorder="1" applyAlignment="1" applyProtection="1">
      <alignment/>
      <protection/>
    </xf>
    <xf numFmtId="2" fontId="1" fillId="0" borderId="88" xfId="0" applyNumberFormat="1" applyFont="1" applyBorder="1" applyAlignment="1" applyProtection="1">
      <alignment/>
      <protection/>
    </xf>
    <xf numFmtId="1" fontId="1" fillId="0" borderId="75" xfId="0" applyNumberFormat="1" applyFont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36" borderId="37" xfId="0" applyFont="1" applyFill="1" applyBorder="1" applyAlignment="1" applyProtection="1">
      <alignment horizontal="center"/>
      <protection/>
    </xf>
    <xf numFmtId="2" fontId="1" fillId="0" borderId="37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1" fillId="0" borderId="77" xfId="0" applyFont="1" applyBorder="1" applyAlignment="1" applyProtection="1">
      <alignment horizontal="left"/>
      <protection/>
    </xf>
    <xf numFmtId="0" fontId="1" fillId="0" borderId="77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/>
      <protection/>
    </xf>
    <xf numFmtId="0" fontId="1" fillId="0" borderId="89" xfId="0" applyFont="1" applyBorder="1" applyAlignment="1" applyProtection="1">
      <alignment/>
      <protection/>
    </xf>
    <xf numFmtId="0" fontId="1" fillId="0" borderId="90" xfId="0" applyFont="1" applyBorder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1" fillId="0" borderId="47" xfId="0" applyFont="1" applyBorder="1" applyAlignment="1" applyProtection="1">
      <alignment/>
      <protection/>
    </xf>
    <xf numFmtId="0" fontId="1" fillId="0" borderId="14" xfId="0" applyFont="1" applyBorder="1" applyAlignment="1">
      <alignment horizontal="left"/>
    </xf>
    <xf numFmtId="0" fontId="1" fillId="0" borderId="48" xfId="0" applyFont="1" applyFill="1" applyBorder="1" applyAlignment="1" applyProtection="1">
      <alignment horizontal="center"/>
      <protection locked="0"/>
    </xf>
    <xf numFmtId="0" fontId="1" fillId="0" borderId="91" xfId="0" applyFont="1" applyFill="1" applyBorder="1" applyAlignment="1" applyProtection="1">
      <alignment/>
      <protection/>
    </xf>
    <xf numFmtId="0" fontId="1" fillId="0" borderId="92" xfId="0" applyFont="1" applyFill="1" applyBorder="1" applyAlignment="1" applyProtection="1">
      <alignment/>
      <protection/>
    </xf>
    <xf numFmtId="0" fontId="1" fillId="0" borderId="93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right"/>
      <protection hidden="1"/>
    </xf>
    <xf numFmtId="1" fontId="2" fillId="35" borderId="62" xfId="0" applyNumberFormat="1" applyFont="1" applyFill="1" applyBorder="1" applyAlignment="1" applyProtection="1">
      <alignment/>
      <protection locked="0"/>
    </xf>
    <xf numFmtId="1" fontId="2" fillId="35" borderId="94" xfId="0" applyNumberFormat="1" applyFont="1" applyFill="1" applyBorder="1" applyAlignment="1" applyProtection="1">
      <alignment/>
      <protection locked="0"/>
    </xf>
    <xf numFmtId="0" fontId="7" fillId="0" borderId="89" xfId="0" applyFont="1" applyBorder="1" applyAlignment="1" applyProtection="1">
      <alignment/>
      <protection/>
    </xf>
    <xf numFmtId="0" fontId="1" fillId="0" borderId="0" xfId="0" applyFont="1" applyAlignment="1">
      <alignment horizontal="left"/>
    </xf>
    <xf numFmtId="49" fontId="6" fillId="0" borderId="58" xfId="0" applyNumberFormat="1" applyFont="1" applyFill="1" applyBorder="1" applyAlignment="1" applyProtection="1">
      <alignment horizontal="left"/>
      <protection/>
    </xf>
    <xf numFmtId="2" fontId="1" fillId="33" borderId="75" xfId="0" applyNumberFormat="1" applyFont="1" applyFill="1" applyBorder="1" applyAlignment="1" applyProtection="1">
      <alignment horizontal="center"/>
      <protection/>
    </xf>
    <xf numFmtId="2" fontId="1" fillId="0" borderId="43" xfId="0" applyNumberFormat="1" applyFont="1" applyFill="1" applyBorder="1" applyAlignment="1" applyProtection="1">
      <alignment/>
      <protection/>
    </xf>
    <xf numFmtId="2" fontId="1" fillId="0" borderId="62" xfId="0" applyNumberFormat="1" applyFont="1" applyBorder="1" applyAlignment="1" applyProtection="1">
      <alignment/>
      <protection/>
    </xf>
    <xf numFmtId="2" fontId="1" fillId="0" borderId="95" xfId="0" applyNumberFormat="1" applyFont="1" applyFill="1" applyBorder="1" applyAlignment="1" applyProtection="1">
      <alignment/>
      <protection/>
    </xf>
    <xf numFmtId="2" fontId="1" fillId="0" borderId="42" xfId="0" applyNumberFormat="1" applyFont="1" applyFill="1" applyBorder="1" applyAlignment="1" applyProtection="1">
      <alignment/>
      <protection/>
    </xf>
    <xf numFmtId="2" fontId="1" fillId="0" borderId="19" xfId="0" applyNumberFormat="1" applyFont="1" applyBorder="1" applyAlignment="1" applyProtection="1">
      <alignment/>
      <protection/>
    </xf>
    <xf numFmtId="193" fontId="1" fillId="33" borderId="19" xfId="0" applyNumberFormat="1" applyFont="1" applyFill="1" applyBorder="1" applyAlignment="1" applyProtection="1">
      <alignment/>
      <protection/>
    </xf>
    <xf numFmtId="0" fontId="1" fillId="0" borderId="47" xfId="0" applyFont="1" applyFill="1" applyBorder="1" applyAlignment="1" applyProtection="1">
      <alignment/>
      <protection locked="0"/>
    </xf>
    <xf numFmtId="0" fontId="10" fillId="35" borderId="24" xfId="0" applyFont="1" applyFill="1" applyBorder="1" applyAlignment="1" applyProtection="1">
      <alignment horizontal="center"/>
      <protection locked="0"/>
    </xf>
    <xf numFmtId="0" fontId="10" fillId="35" borderId="42" xfId="0" applyFont="1" applyFill="1" applyBorder="1" applyAlignment="1" applyProtection="1">
      <alignment horizontal="center"/>
      <protection locked="0"/>
    </xf>
    <xf numFmtId="0" fontId="10" fillId="35" borderId="43" xfId="0" applyFont="1" applyFill="1" applyBorder="1" applyAlignment="1" applyProtection="1">
      <alignment horizontal="center"/>
      <protection locked="0"/>
    </xf>
    <xf numFmtId="0" fontId="10" fillId="35" borderId="55" xfId="0" applyFont="1" applyFill="1" applyBorder="1" applyAlignment="1" applyProtection="1">
      <alignment horizontal="center"/>
      <protection locked="0"/>
    </xf>
    <xf numFmtId="193" fontId="1" fillId="0" borderId="47" xfId="0" applyNumberFormat="1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/>
      <protection/>
    </xf>
    <xf numFmtId="49" fontId="1" fillId="0" borderId="14" xfId="0" applyNumberFormat="1" applyFont="1" applyFill="1" applyBorder="1" applyAlignment="1" applyProtection="1">
      <alignment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29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1" fillId="0" borderId="57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1" fillId="0" borderId="77" xfId="0" applyFont="1" applyFill="1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center"/>
      <protection/>
    </xf>
    <xf numFmtId="2" fontId="1" fillId="0" borderId="17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right"/>
      <protection/>
    </xf>
    <xf numFmtId="2" fontId="1" fillId="0" borderId="14" xfId="0" applyNumberFormat="1" applyFont="1" applyFill="1" applyBorder="1" applyAlignment="1" applyProtection="1">
      <alignment horizontal="center"/>
      <protection/>
    </xf>
    <xf numFmtId="2" fontId="1" fillId="0" borderId="18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1" fontId="1" fillId="0" borderId="69" xfId="0" applyNumberFormat="1" applyFont="1" applyFill="1" applyBorder="1" applyAlignment="1" applyProtection="1">
      <alignment horizontal="center"/>
      <protection/>
    </xf>
    <xf numFmtId="1" fontId="7" fillId="33" borderId="96" xfId="0" applyNumberFormat="1" applyFont="1" applyFill="1" applyBorder="1" applyAlignment="1" applyProtection="1">
      <alignment horizontal="center"/>
      <protection/>
    </xf>
    <xf numFmtId="194" fontId="1" fillId="0" borderId="10" xfId="0" applyNumberFormat="1" applyFont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0" fillId="0" borderId="35" xfId="0" applyFill="1" applyBorder="1" applyAlignment="1" applyProtection="1">
      <alignment/>
      <protection/>
    </xf>
    <xf numFmtId="0" fontId="1" fillId="35" borderId="95" xfId="0" applyFont="1" applyFill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right"/>
      <protection/>
    </xf>
    <xf numFmtId="0" fontId="9" fillId="0" borderId="59" xfId="0" applyFont="1" applyBorder="1" applyAlignment="1">
      <alignment/>
    </xf>
    <xf numFmtId="0" fontId="9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7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23" fillId="0" borderId="59" xfId="0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left"/>
      <protection/>
    </xf>
    <xf numFmtId="0" fontId="24" fillId="0" borderId="10" xfId="0" applyFont="1" applyBorder="1" applyAlignment="1" applyProtection="1">
      <alignment horizontal="righ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4" fillId="0" borderId="10" xfId="0" applyFont="1" applyFill="1" applyBorder="1" applyAlignment="1" applyProtection="1">
      <alignment horizontal="center"/>
      <protection/>
    </xf>
    <xf numFmtId="0" fontId="19" fillId="0" borderId="13" xfId="0" applyNumberFormat="1" applyFont="1" applyBorder="1" applyAlignment="1" applyProtection="1">
      <alignment horizontal="left"/>
      <protection/>
    </xf>
    <xf numFmtId="49" fontId="20" fillId="0" borderId="13" xfId="0" applyNumberFormat="1" applyFont="1" applyBorder="1" applyAlignment="1" applyProtection="1">
      <alignment/>
      <protection/>
    </xf>
    <xf numFmtId="0" fontId="3" fillId="39" borderId="21" xfId="0" applyFont="1" applyFill="1" applyBorder="1" applyAlignment="1" applyProtection="1">
      <alignment/>
      <protection/>
    </xf>
    <xf numFmtId="0" fontId="3" fillId="39" borderId="23" xfId="0" applyFont="1" applyFill="1" applyBorder="1" applyAlignment="1" applyProtection="1">
      <alignment/>
      <protection/>
    </xf>
    <xf numFmtId="0" fontId="3" fillId="39" borderId="23" xfId="0" applyFont="1" applyFill="1" applyBorder="1" applyAlignment="1" applyProtection="1">
      <alignment horizontal="right"/>
      <protection/>
    </xf>
    <xf numFmtId="0" fontId="3" fillId="39" borderId="97" xfId="0" applyFont="1" applyFill="1" applyBorder="1" applyAlignment="1">
      <alignment/>
    </xf>
    <xf numFmtId="0" fontId="3" fillId="39" borderId="10" xfId="0" applyFont="1" applyFill="1" applyBorder="1" applyAlignment="1" applyProtection="1">
      <alignment horizontal="right"/>
      <protection/>
    </xf>
    <xf numFmtId="0" fontId="1" fillId="0" borderId="49" xfId="0" applyFont="1" applyBorder="1" applyAlignment="1" applyProtection="1">
      <alignment horizontal="center"/>
      <protection/>
    </xf>
    <xf numFmtId="0" fontId="24" fillId="0" borderId="68" xfId="0" applyFont="1" applyFill="1" applyBorder="1" applyAlignment="1" applyProtection="1">
      <alignment/>
      <protection/>
    </xf>
    <xf numFmtId="0" fontId="24" fillId="0" borderId="69" xfId="0" applyFont="1" applyFill="1" applyBorder="1" applyAlignment="1" applyProtection="1">
      <alignment/>
      <protection/>
    </xf>
    <xf numFmtId="0" fontId="24" fillId="0" borderId="70" xfId="0" applyFont="1" applyFill="1" applyBorder="1" applyAlignment="1" applyProtection="1">
      <alignment/>
      <protection/>
    </xf>
    <xf numFmtId="0" fontId="24" fillId="0" borderId="55" xfId="0" applyFont="1" applyFill="1" applyBorder="1" applyAlignment="1" applyProtection="1">
      <alignment/>
      <protection/>
    </xf>
    <xf numFmtId="0" fontId="24" fillId="0" borderId="74" xfId="0" applyFont="1" applyFill="1" applyBorder="1" applyAlignment="1" applyProtection="1">
      <alignment horizontal="center"/>
      <protection locked="0"/>
    </xf>
    <xf numFmtId="0" fontId="24" fillId="0" borderId="52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7" fillId="0" borderId="98" xfId="0" applyFont="1" applyBorder="1" applyAlignment="1" applyProtection="1">
      <alignment/>
      <protection/>
    </xf>
    <xf numFmtId="0" fontId="1" fillId="0" borderId="99" xfId="0" applyFont="1" applyBorder="1" applyAlignment="1" applyProtection="1">
      <alignment horizontal="center"/>
      <protection/>
    </xf>
    <xf numFmtId="1" fontId="1" fillId="0" borderId="31" xfId="0" applyNumberFormat="1" applyFont="1" applyBorder="1" applyAlignment="1" applyProtection="1">
      <alignment/>
      <protection/>
    </xf>
    <xf numFmtId="1" fontId="1" fillId="0" borderId="49" xfId="0" applyNumberFormat="1" applyFont="1" applyBorder="1" applyAlignment="1" applyProtection="1">
      <alignment/>
      <protection/>
    </xf>
    <xf numFmtId="1" fontId="1" fillId="0" borderId="29" xfId="0" applyNumberFormat="1" applyFont="1" applyBorder="1" applyAlignment="1" applyProtection="1">
      <alignment/>
      <protection/>
    </xf>
    <xf numFmtId="1" fontId="1" fillId="33" borderId="100" xfId="0" applyNumberFormat="1" applyFont="1" applyFill="1" applyBorder="1" applyAlignment="1" applyProtection="1">
      <alignment/>
      <protection/>
    </xf>
    <xf numFmtId="0" fontId="1" fillId="0" borderId="101" xfId="0" applyFont="1" applyBorder="1" applyAlignment="1">
      <alignment horizontal="left"/>
    </xf>
    <xf numFmtId="0" fontId="3" fillId="34" borderId="26" xfId="0" applyFont="1" applyFill="1" applyBorder="1" applyAlignment="1" applyProtection="1">
      <alignment horizontal="left" vertical="center"/>
      <protection/>
    </xf>
    <xf numFmtId="0" fontId="1" fillId="34" borderId="33" xfId="0" applyFont="1" applyFill="1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35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right" vertical="center"/>
      <protection/>
    </xf>
    <xf numFmtId="0" fontId="3" fillId="37" borderId="21" xfId="0" applyFont="1" applyFill="1" applyBorder="1" applyAlignment="1" applyProtection="1">
      <alignment vertical="center"/>
      <protection/>
    </xf>
    <xf numFmtId="0" fontId="3" fillId="37" borderId="23" xfId="0" applyFont="1" applyFill="1" applyBorder="1" applyAlignment="1" applyProtection="1">
      <alignment vertical="center"/>
      <protection/>
    </xf>
    <xf numFmtId="0" fontId="3" fillId="37" borderId="23" xfId="0" applyFont="1" applyFill="1" applyBorder="1" applyAlignment="1" applyProtection="1">
      <alignment horizontal="right" vertical="center"/>
      <protection/>
    </xf>
    <xf numFmtId="0" fontId="3" fillId="37" borderId="97" xfId="0" applyFont="1" applyFill="1" applyBorder="1" applyAlignment="1" applyProtection="1">
      <alignment horizontal="right" vertical="center"/>
      <protection/>
    </xf>
    <xf numFmtId="0" fontId="11" fillId="0" borderId="60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0" fontId="1" fillId="0" borderId="35" xfId="0" applyFont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right" vertical="center"/>
      <protection/>
    </xf>
    <xf numFmtId="0" fontId="1" fillId="0" borderId="18" xfId="0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vertical="center"/>
      <protection/>
    </xf>
    <xf numFmtId="0" fontId="8" fillId="0" borderId="44" xfId="0" applyNumberFormat="1" applyFont="1" applyBorder="1" applyAlignment="1" applyProtection="1">
      <alignment horizontal="left" vertical="center"/>
      <protection/>
    </xf>
    <xf numFmtId="49" fontId="9" fillId="0" borderId="13" xfId="0" applyNumberFormat="1" applyFont="1" applyBorder="1" applyAlignment="1" applyProtection="1">
      <alignment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8" fillId="0" borderId="20" xfId="0" applyNumberFormat="1" applyFont="1" applyBorder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Border="1" applyAlignment="1" applyProtection="1">
      <alignment horizontal="lef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49" fontId="9" fillId="0" borderId="48" xfId="0" applyNumberFormat="1" applyFont="1" applyFill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vertical="center"/>
      <protection/>
    </xf>
    <xf numFmtId="0" fontId="10" fillId="0" borderId="35" xfId="0" applyFont="1" applyBorder="1" applyAlignment="1" applyProtection="1">
      <alignment vertical="center"/>
      <protection/>
    </xf>
    <xf numFmtId="3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86" xfId="0" applyFont="1" applyBorder="1" applyAlignment="1" applyProtection="1">
      <alignment vertical="center"/>
      <protection/>
    </xf>
    <xf numFmtId="0" fontId="1" fillId="0" borderId="44" xfId="0" applyFont="1" applyBorder="1" applyAlignment="1" applyProtection="1">
      <alignment vertical="center"/>
      <protection/>
    </xf>
    <xf numFmtId="0" fontId="1" fillId="0" borderId="57" xfId="0" applyFont="1" applyBorder="1" applyAlignment="1" applyProtection="1">
      <alignment vertical="center"/>
      <protection/>
    </xf>
    <xf numFmtId="0" fontId="1" fillId="0" borderId="56" xfId="0" applyFont="1" applyBorder="1" applyAlignment="1" applyProtection="1">
      <alignment vertical="center"/>
      <protection/>
    </xf>
    <xf numFmtId="0" fontId="1" fillId="0" borderId="57" xfId="0" applyFont="1" applyBorder="1" applyAlignment="1" applyProtection="1">
      <alignment horizontal="right" vertical="center"/>
      <protection/>
    </xf>
    <xf numFmtId="3" fontId="10" fillId="35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" fillId="0" borderId="20" xfId="0" applyFont="1" applyFill="1" applyBorder="1" applyAlignment="1" applyProtection="1">
      <alignment vertical="center"/>
      <protection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24" fillId="0" borderId="68" xfId="0" applyFont="1" applyFill="1" applyBorder="1" applyAlignment="1" applyProtection="1">
      <alignment vertical="center"/>
      <protection/>
    </xf>
    <xf numFmtId="0" fontId="24" fillId="0" borderId="69" xfId="0" applyFont="1" applyFill="1" applyBorder="1" applyAlignment="1" applyProtection="1">
      <alignment vertical="center"/>
      <protection/>
    </xf>
    <xf numFmtId="0" fontId="24" fillId="0" borderId="70" xfId="0" applyFont="1" applyFill="1" applyBorder="1" applyAlignment="1" applyProtection="1">
      <alignment vertical="center"/>
      <protection/>
    </xf>
    <xf numFmtId="0" fontId="24" fillId="0" borderId="55" xfId="0" applyFont="1" applyFill="1" applyBorder="1" applyAlignment="1" applyProtection="1">
      <alignment vertical="center"/>
      <protection/>
    </xf>
    <xf numFmtId="0" fontId="24" fillId="0" borderId="74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1" fillId="0" borderId="62" xfId="0" applyFont="1" applyFill="1" applyBorder="1" applyAlignment="1" applyProtection="1">
      <alignment vertical="center"/>
      <protection/>
    </xf>
    <xf numFmtId="0" fontId="10" fillId="35" borderId="24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>
      <alignment vertical="center"/>
    </xf>
    <xf numFmtId="0" fontId="1" fillId="0" borderId="24" xfId="0" applyFont="1" applyFill="1" applyBorder="1" applyAlignment="1" applyProtection="1">
      <alignment vertical="center"/>
      <protection/>
    </xf>
    <xf numFmtId="0" fontId="9" fillId="0" borderId="95" xfId="0" applyFont="1" applyFill="1" applyBorder="1" applyAlignment="1">
      <alignment vertical="center"/>
    </xf>
    <xf numFmtId="0" fontId="7" fillId="0" borderId="94" xfId="0" applyFont="1" applyFill="1" applyBorder="1" applyAlignment="1" applyProtection="1" quotePrefix="1">
      <alignment vertical="center"/>
      <protection/>
    </xf>
    <xf numFmtId="0" fontId="1" fillId="0" borderId="66" xfId="0" applyFont="1" applyFill="1" applyBorder="1" applyAlignment="1" applyProtection="1">
      <alignment horizontal="center" vertical="center"/>
      <protection locked="0"/>
    </xf>
    <xf numFmtId="0" fontId="10" fillId="35" borderId="96" xfId="0" applyFont="1" applyFill="1" applyBorder="1" applyAlignment="1" applyProtection="1">
      <alignment horizontal="center" vertical="center"/>
      <protection locked="0"/>
    </xf>
    <xf numFmtId="0" fontId="9" fillId="0" borderId="90" xfId="0" applyFont="1" applyFill="1" applyBorder="1" applyAlignment="1">
      <alignment vertical="center"/>
    </xf>
    <xf numFmtId="0" fontId="1" fillId="0" borderId="94" xfId="0" applyFont="1" applyBorder="1" applyAlignment="1" applyProtection="1">
      <alignment horizontal="left" vertical="center"/>
      <protection/>
    </xf>
    <xf numFmtId="0" fontId="1" fillId="0" borderId="66" xfId="0" applyFont="1" applyBorder="1" applyAlignment="1" applyProtection="1">
      <alignment vertical="center"/>
      <protection/>
    </xf>
    <xf numFmtId="0" fontId="1" fillId="0" borderId="102" xfId="0" applyFont="1" applyBorder="1" applyAlignment="1" applyProtection="1">
      <alignment vertical="center"/>
      <protection/>
    </xf>
    <xf numFmtId="0" fontId="1" fillId="0" borderId="103" xfId="0" applyFont="1" applyBorder="1" applyAlignment="1" applyProtection="1">
      <alignment vertical="center"/>
      <protection/>
    </xf>
    <xf numFmtId="0" fontId="1" fillId="0" borderId="104" xfId="0" applyFont="1" applyBorder="1" applyAlignment="1" applyProtection="1">
      <alignment vertical="center"/>
      <protection/>
    </xf>
    <xf numFmtId="0" fontId="1" fillId="33" borderId="43" xfId="0" applyFont="1" applyFill="1" applyBorder="1" applyAlignment="1" applyProtection="1">
      <alignment horizontal="center" vertical="center"/>
      <protection/>
    </xf>
    <xf numFmtId="0" fontId="24" fillId="0" borderId="20" xfId="0" applyFont="1" applyBorder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vertical="center"/>
      <protection/>
    </xf>
    <xf numFmtId="3" fontId="1" fillId="33" borderId="95" xfId="0" applyNumberFormat="1" applyFont="1" applyFill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1" fillId="0" borderId="58" xfId="0" applyFont="1" applyBorder="1" applyAlignment="1" applyProtection="1">
      <alignment vertical="center"/>
      <protection/>
    </xf>
    <xf numFmtId="0" fontId="1" fillId="0" borderId="54" xfId="0" applyFont="1" applyBorder="1" applyAlignment="1" applyProtection="1">
      <alignment horizontal="right" vertical="center"/>
      <protection/>
    </xf>
    <xf numFmtId="3" fontId="1" fillId="33" borderId="75" xfId="0" applyNumberFormat="1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horizontal="left" vertical="center"/>
      <protection/>
    </xf>
    <xf numFmtId="49" fontId="11" fillId="0" borderId="44" xfId="0" applyNumberFormat="1" applyFont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Border="1" applyAlignment="1" applyProtection="1">
      <alignment horizontal="left" vertical="center"/>
      <protection/>
    </xf>
    <xf numFmtId="3" fontId="1" fillId="0" borderId="105" xfId="0" applyNumberFormat="1" applyFont="1" applyBorder="1" applyAlignment="1" applyProtection="1">
      <alignment horizontal="left" vertical="center"/>
      <protection/>
    </xf>
    <xf numFmtId="49" fontId="1" fillId="0" borderId="105" xfId="0" applyNumberFormat="1" applyFont="1" applyBorder="1" applyAlignment="1" applyProtection="1">
      <alignment vertical="center"/>
      <protection/>
    </xf>
    <xf numFmtId="49" fontId="1" fillId="0" borderId="82" xfId="0" applyNumberFormat="1" applyFont="1" applyBorder="1" applyAlignment="1" applyProtection="1">
      <alignment vertical="center"/>
      <protection/>
    </xf>
    <xf numFmtId="49" fontId="9" fillId="0" borderId="20" xfId="0" applyNumberFormat="1" applyFont="1" applyBorder="1" applyAlignment="1" applyProtection="1">
      <alignment vertical="center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left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82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vertical="center"/>
      <protection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49" fontId="1" fillId="0" borderId="52" xfId="0" applyNumberFormat="1" applyFont="1" applyFill="1" applyBorder="1" applyAlignment="1" applyProtection="1">
      <alignment horizontal="center" vertical="center"/>
      <protection/>
    </xf>
    <xf numFmtId="0" fontId="8" fillId="0" borderId="56" xfId="0" applyNumberFormat="1" applyFont="1" applyBorder="1" applyAlignment="1" applyProtection="1">
      <alignment horizontal="left" vertical="center"/>
      <protection/>
    </xf>
    <xf numFmtId="0" fontId="1" fillId="0" borderId="57" xfId="0" applyFont="1" applyBorder="1" applyAlignment="1">
      <alignment vertical="center"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1" fillId="0" borderId="82" xfId="0" applyFont="1" applyBorder="1" applyAlignment="1" applyProtection="1">
      <alignment vertical="center"/>
      <protection/>
    </xf>
    <xf numFmtId="49" fontId="1" fillId="0" borderId="61" xfId="0" applyNumberFormat="1" applyFont="1" applyFill="1" applyBorder="1" applyAlignment="1" applyProtection="1">
      <alignment horizontal="center" vertical="center"/>
      <protection/>
    </xf>
    <xf numFmtId="49" fontId="1" fillId="0" borderId="64" xfId="0" applyNumberFormat="1" applyFont="1" applyFill="1" applyBorder="1" applyAlignment="1" applyProtection="1">
      <alignment horizontal="center" vertical="center"/>
      <protection/>
    </xf>
    <xf numFmtId="0" fontId="1" fillId="0" borderId="53" xfId="0" applyFont="1" applyBorder="1" applyAlignment="1">
      <alignment vertical="center"/>
    </xf>
    <xf numFmtId="49" fontId="1" fillId="0" borderId="38" xfId="0" applyNumberFormat="1" applyFont="1" applyFill="1" applyBorder="1" applyAlignment="1" applyProtection="1">
      <alignment horizontal="center" vertical="center"/>
      <protection/>
    </xf>
    <xf numFmtId="49" fontId="21" fillId="0" borderId="58" xfId="0" applyNumberFormat="1" applyFont="1" applyFill="1" applyBorder="1" applyAlignment="1" applyProtection="1">
      <alignment horizontal="left" vertical="center"/>
      <protection/>
    </xf>
    <xf numFmtId="0" fontId="21" fillId="0" borderId="54" xfId="0" applyFont="1" applyBorder="1" applyAlignment="1">
      <alignment vertical="center"/>
    </xf>
    <xf numFmtId="0" fontId="2" fillId="35" borderId="62" xfId="0" applyFont="1" applyFill="1" applyBorder="1" applyAlignment="1" applyProtection="1">
      <alignment vertical="center"/>
      <protection locked="0"/>
    </xf>
    <xf numFmtId="0" fontId="7" fillId="36" borderId="24" xfId="0" applyFont="1" applyFill="1" applyBorder="1" applyAlignment="1" applyProtection="1">
      <alignment horizontal="center" vertical="center"/>
      <protection/>
    </xf>
    <xf numFmtId="2" fontId="1" fillId="0" borderId="24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vertical="center"/>
      <protection/>
    </xf>
    <xf numFmtId="1" fontId="1" fillId="33" borderId="106" xfId="0" applyNumberFormat="1" applyFont="1" applyFill="1" applyBorder="1" applyAlignment="1" applyProtection="1">
      <alignment horizontal="center" vertical="center"/>
      <protection/>
    </xf>
    <xf numFmtId="1" fontId="1" fillId="33" borderId="55" xfId="0" applyNumberFormat="1" applyFont="1" applyFill="1" applyBorder="1" applyAlignment="1" applyProtection="1">
      <alignment horizontal="center" vertical="center"/>
      <protection/>
    </xf>
    <xf numFmtId="193" fontId="1" fillId="33" borderId="70" xfId="0" applyNumberFormat="1" applyFont="1" applyFill="1" applyBorder="1" applyAlignment="1" applyProtection="1">
      <alignment horizontal="center" vertical="center"/>
      <protection/>
    </xf>
    <xf numFmtId="1" fontId="1" fillId="33" borderId="28" xfId="0" applyNumberFormat="1" applyFont="1" applyFill="1" applyBorder="1" applyAlignment="1" applyProtection="1">
      <alignment horizontal="center" vertical="center"/>
      <protection/>
    </xf>
    <xf numFmtId="1" fontId="1" fillId="33" borderId="62" xfId="0" applyNumberFormat="1" applyFont="1" applyFill="1" applyBorder="1" applyAlignment="1" applyProtection="1">
      <alignment horizontal="center" vertical="center"/>
      <protection/>
    </xf>
    <xf numFmtId="1" fontId="1" fillId="33" borderId="31" xfId="0" applyNumberFormat="1" applyFont="1" applyFill="1" applyBorder="1" applyAlignment="1" applyProtection="1">
      <alignment horizontal="center" vertical="center"/>
      <protection/>
    </xf>
    <xf numFmtId="0" fontId="2" fillId="35" borderId="94" xfId="0" applyFont="1" applyFill="1" applyBorder="1" applyAlignment="1" applyProtection="1">
      <alignment vertical="center"/>
      <protection locked="0"/>
    </xf>
    <xf numFmtId="0" fontId="7" fillId="36" borderId="66" xfId="0" applyFont="1" applyFill="1" applyBorder="1" applyAlignment="1" applyProtection="1">
      <alignment horizontal="center" vertical="center"/>
      <protection/>
    </xf>
    <xf numFmtId="2" fontId="1" fillId="0" borderId="66" xfId="0" applyNumberFormat="1" applyFont="1" applyFill="1" applyBorder="1" applyAlignment="1" applyProtection="1">
      <alignment vertical="center"/>
      <protection/>
    </xf>
    <xf numFmtId="1" fontId="1" fillId="33" borderId="94" xfId="0" applyNumberFormat="1" applyFont="1" applyFill="1" applyBorder="1" applyAlignment="1" applyProtection="1">
      <alignment horizontal="center" vertical="center"/>
      <protection/>
    </xf>
    <xf numFmtId="1" fontId="1" fillId="33" borderId="107" xfId="0" applyNumberFormat="1" applyFont="1" applyFill="1" applyBorder="1" applyAlignment="1" applyProtection="1">
      <alignment horizontal="center" vertical="center"/>
      <protection/>
    </xf>
    <xf numFmtId="0" fontId="2" fillId="35" borderId="19" xfId="0" applyFont="1" applyFill="1" applyBorder="1" applyAlignment="1" applyProtection="1">
      <alignment vertical="center"/>
      <protection locked="0"/>
    </xf>
    <xf numFmtId="0" fontId="7" fillId="36" borderId="37" xfId="0" applyFont="1" applyFill="1" applyBorder="1" applyAlignment="1" applyProtection="1">
      <alignment horizontal="center" vertical="center"/>
      <protection/>
    </xf>
    <xf numFmtId="2" fontId="1" fillId="0" borderId="11" xfId="0" applyNumberFormat="1" applyFont="1" applyFill="1" applyBorder="1" applyAlignment="1" applyProtection="1">
      <alignment vertical="center"/>
      <protection/>
    </xf>
    <xf numFmtId="1" fontId="1" fillId="33" borderId="108" xfId="0" applyNumberFormat="1" applyFont="1" applyFill="1" applyBorder="1" applyAlignment="1" applyProtection="1">
      <alignment horizontal="center" vertical="center"/>
      <protection/>
    </xf>
    <xf numFmtId="193" fontId="1" fillId="33" borderId="40" xfId="0" applyNumberFormat="1" applyFont="1" applyFill="1" applyBorder="1" applyAlignment="1" applyProtection="1">
      <alignment horizontal="center" vertical="center"/>
      <protection/>
    </xf>
    <xf numFmtId="193" fontId="1" fillId="33" borderId="22" xfId="0" applyNumberFormat="1" applyFont="1" applyFill="1" applyBorder="1" applyAlignment="1" applyProtection="1">
      <alignment horizontal="center" vertical="center"/>
      <protection/>
    </xf>
    <xf numFmtId="1" fontId="1" fillId="0" borderId="109" xfId="0" applyNumberFormat="1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/>
    </xf>
    <xf numFmtId="2" fontId="1" fillId="0" borderId="54" xfId="0" applyNumberFormat="1" applyFont="1" applyFill="1" applyBorder="1" applyAlignment="1" applyProtection="1">
      <alignment vertical="center"/>
      <protection/>
    </xf>
    <xf numFmtId="1" fontId="1" fillId="0" borderId="47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93" fontId="6" fillId="0" borderId="22" xfId="0" applyNumberFormat="1" applyFont="1" applyFill="1" applyBorder="1" applyAlignment="1" applyProtection="1">
      <alignment horizontal="right" vertical="center"/>
      <protection/>
    </xf>
    <xf numFmtId="2" fontId="1" fillId="33" borderId="109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1" fontId="14" fillId="0" borderId="13" xfId="0" applyNumberFormat="1" applyFont="1" applyFill="1" applyBorder="1" applyAlignment="1" applyProtection="1">
      <alignment horizontal="center" vertical="center"/>
      <protection/>
    </xf>
    <xf numFmtId="193" fontId="14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10" xfId="0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vertical="center"/>
    </xf>
    <xf numFmtId="0" fontId="5" fillId="0" borderId="66" xfId="0" applyFont="1" applyBorder="1" applyAlignment="1" applyProtection="1">
      <alignment horizontal="center" vertical="center"/>
      <protection/>
    </xf>
    <xf numFmtId="0" fontId="1" fillId="0" borderId="10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horizontal="right" vertical="center"/>
      <protection/>
    </xf>
    <xf numFmtId="2" fontId="1" fillId="33" borderId="25" xfId="0" applyNumberFormat="1" applyFont="1" applyFill="1" applyBorder="1" applyAlignment="1" applyProtection="1">
      <alignment horizontal="center" vertical="center"/>
      <protection/>
    </xf>
    <xf numFmtId="2" fontId="1" fillId="33" borderId="30" xfId="0" applyNumberFormat="1" applyFont="1" applyFill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right" vertical="center"/>
      <protection/>
    </xf>
    <xf numFmtId="2" fontId="1" fillId="33" borderId="24" xfId="0" applyNumberFormat="1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vertical="center"/>
      <protection/>
    </xf>
    <xf numFmtId="2" fontId="1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vertical="center"/>
      <protection/>
    </xf>
    <xf numFmtId="49" fontId="1" fillId="0" borderId="14" xfId="0" applyNumberFormat="1" applyFont="1" applyBorder="1" applyAlignment="1" applyProtection="1">
      <alignment vertical="center"/>
      <protection/>
    </xf>
    <xf numFmtId="49" fontId="1" fillId="0" borderId="14" xfId="0" applyNumberFormat="1" applyFont="1" applyBorder="1" applyAlignment="1" applyProtection="1">
      <alignment horizontal="right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1" fillId="33" borderId="2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1" fontId="7" fillId="33" borderId="96" xfId="0" applyNumberFormat="1" applyFont="1" applyFill="1" applyBorder="1" applyAlignment="1" applyProtection="1">
      <alignment horizontal="center" vertical="center"/>
      <protection/>
    </xf>
    <xf numFmtId="1" fontId="1" fillId="0" borderId="69" xfId="0" applyNumberFormat="1" applyFont="1" applyFill="1" applyBorder="1" applyAlignment="1" applyProtection="1">
      <alignment horizontal="center" vertical="center"/>
      <protection/>
    </xf>
    <xf numFmtId="0" fontId="0" fillId="38" borderId="80" xfId="0" applyFill="1" applyBorder="1" applyAlignment="1" applyProtection="1">
      <alignment vertical="center"/>
      <protection/>
    </xf>
    <xf numFmtId="49" fontId="1" fillId="38" borderId="23" xfId="0" applyNumberFormat="1" applyFont="1" applyFill="1" applyBorder="1" applyAlignment="1" applyProtection="1">
      <alignment vertical="center"/>
      <protection/>
    </xf>
    <xf numFmtId="49" fontId="1" fillId="38" borderId="23" xfId="0" applyNumberFormat="1" applyFont="1" applyFill="1" applyBorder="1" applyAlignment="1" applyProtection="1">
      <alignment horizontal="right" vertical="center"/>
      <protection/>
    </xf>
    <xf numFmtId="2" fontId="14" fillId="38" borderId="23" xfId="0" applyNumberFormat="1" applyFont="1" applyFill="1" applyBorder="1" applyAlignment="1" applyProtection="1">
      <alignment horizontal="center" vertical="center"/>
      <protection/>
    </xf>
    <xf numFmtId="0" fontId="1" fillId="38" borderId="23" xfId="0" applyFont="1" applyFill="1" applyBorder="1" applyAlignment="1" applyProtection="1">
      <alignment horizontal="center" vertical="center"/>
      <protection/>
    </xf>
    <xf numFmtId="2" fontId="14" fillId="38" borderId="27" xfId="0" applyNumberFormat="1" applyFont="1" applyFill="1" applyBorder="1" applyAlignment="1" applyProtection="1">
      <alignment horizontal="center" vertical="center"/>
      <protection/>
    </xf>
    <xf numFmtId="3" fontId="1" fillId="0" borderId="23" xfId="0" applyNumberFormat="1" applyFont="1" applyBorder="1" applyAlignment="1" applyProtection="1">
      <alignment horizontal="left" vertical="center"/>
      <protection/>
    </xf>
    <xf numFmtId="49" fontId="1" fillId="0" borderId="23" xfId="0" applyNumberFormat="1" applyFont="1" applyBorder="1" applyAlignment="1" applyProtection="1">
      <alignment vertical="center"/>
      <protection/>
    </xf>
    <xf numFmtId="49" fontId="5" fillId="0" borderId="40" xfId="0" applyNumberFormat="1" applyFont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49" fontId="24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>
      <alignment vertical="center"/>
    </xf>
    <xf numFmtId="0" fontId="6" fillId="0" borderId="52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0" fontId="25" fillId="0" borderId="15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vertical="center"/>
      <protection/>
    </xf>
    <xf numFmtId="2" fontId="1" fillId="0" borderId="16" xfId="0" applyNumberFormat="1" applyFont="1" applyBorder="1" applyAlignment="1" applyProtection="1">
      <alignment vertical="center"/>
      <protection/>
    </xf>
    <xf numFmtId="2" fontId="1" fillId="0" borderId="12" xfId="0" applyNumberFormat="1" applyFont="1" applyBorder="1" applyAlignment="1" applyProtection="1">
      <alignment vertical="center"/>
      <protection/>
    </xf>
    <xf numFmtId="2" fontId="1" fillId="0" borderId="29" xfId="0" applyNumberFormat="1" applyFont="1" applyBorder="1" applyAlignment="1" applyProtection="1">
      <alignment vertical="center"/>
      <protection/>
    </xf>
    <xf numFmtId="192" fontId="2" fillId="0" borderId="35" xfId="0" applyNumberFormat="1" applyFont="1" applyFill="1" applyBorder="1" applyAlignment="1" applyProtection="1">
      <alignment vertical="center"/>
      <protection/>
    </xf>
    <xf numFmtId="0" fontId="1" fillId="0" borderId="44" xfId="0" applyFont="1" applyFill="1" applyBorder="1" applyAlignment="1" applyProtection="1">
      <alignment vertical="center"/>
      <protection locked="0"/>
    </xf>
    <xf numFmtId="2" fontId="1" fillId="0" borderId="13" xfId="0" applyNumberFormat="1" applyFont="1" applyFill="1" applyBorder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 vertical="center"/>
      <protection/>
    </xf>
    <xf numFmtId="2" fontId="1" fillId="0" borderId="10" xfId="0" applyNumberFormat="1" applyFont="1" applyFill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vertical="center"/>
      <protection locked="0"/>
    </xf>
    <xf numFmtId="0" fontId="1" fillId="0" borderId="6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35" xfId="0" applyFont="1" applyFill="1" applyBorder="1" applyAlignment="1" applyProtection="1">
      <alignment vertical="center"/>
      <protection/>
    </xf>
    <xf numFmtId="2" fontId="1" fillId="0" borderId="25" xfId="0" applyNumberFormat="1" applyFont="1" applyFill="1" applyBorder="1" applyAlignment="1" applyProtection="1">
      <alignment horizontal="center" vertical="center"/>
      <protection/>
    </xf>
    <xf numFmtId="2" fontId="1" fillId="0" borderId="30" xfId="0" applyNumberFormat="1" applyFont="1" applyFill="1" applyBorder="1" applyAlignment="1" applyProtection="1">
      <alignment horizontal="center" vertical="center"/>
      <protection/>
    </xf>
    <xf numFmtId="2" fontId="1" fillId="0" borderId="24" xfId="0" applyNumberFormat="1" applyFont="1" applyFill="1" applyBorder="1" applyAlignment="1" applyProtection="1">
      <alignment horizontal="center" vertical="center"/>
      <protection/>
    </xf>
    <xf numFmtId="2" fontId="1" fillId="0" borderId="31" xfId="0" applyNumberFormat="1" applyFont="1" applyFill="1" applyBorder="1" applyAlignment="1" applyProtection="1">
      <alignment horizontal="center" vertical="center"/>
      <protection/>
    </xf>
    <xf numFmtId="1" fontId="1" fillId="0" borderId="66" xfId="0" applyNumberFormat="1" applyFont="1" applyFill="1" applyBorder="1" applyAlignment="1" applyProtection="1">
      <alignment horizontal="center" vertical="center"/>
      <protection/>
    </xf>
    <xf numFmtId="0" fontId="0" fillId="0" borderId="111" xfId="0" applyFont="1" applyFill="1" applyBorder="1" applyAlignment="1" applyProtection="1">
      <alignment vertical="center"/>
      <protection/>
    </xf>
    <xf numFmtId="49" fontId="1" fillId="0" borderId="112" xfId="0" applyNumberFormat="1" applyFont="1" applyFill="1" applyBorder="1" applyAlignment="1" applyProtection="1">
      <alignment vertical="center"/>
      <protection/>
    </xf>
    <xf numFmtId="49" fontId="1" fillId="0" borderId="112" xfId="0" applyNumberFormat="1" applyFont="1" applyFill="1" applyBorder="1" applyAlignment="1" applyProtection="1">
      <alignment horizontal="right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49" fontId="1" fillId="0" borderId="53" xfId="0" applyNumberFormat="1" applyFont="1" applyFill="1" applyBorder="1" applyAlignment="1" applyProtection="1">
      <alignment horizontal="right" vertical="center"/>
      <protection/>
    </xf>
    <xf numFmtId="2" fontId="1" fillId="0" borderId="77" xfId="0" applyNumberFormat="1" applyFont="1" applyFill="1" applyBorder="1" applyAlignment="1" applyProtection="1">
      <alignment horizontal="center" vertical="center"/>
      <protection/>
    </xf>
    <xf numFmtId="2" fontId="1" fillId="0" borderId="100" xfId="0" applyNumberFormat="1" applyFont="1" applyFill="1" applyBorder="1" applyAlignment="1" applyProtection="1">
      <alignment horizontal="center" vertical="center"/>
      <protection/>
    </xf>
    <xf numFmtId="0" fontId="1" fillId="0" borderId="113" xfId="0" applyFont="1" applyBorder="1" applyAlignment="1" applyProtection="1">
      <alignment vertical="center"/>
      <protection/>
    </xf>
    <xf numFmtId="0" fontId="2" fillId="0" borderId="114" xfId="0" applyFont="1" applyBorder="1" applyAlignment="1" applyProtection="1">
      <alignment vertical="center"/>
      <protection/>
    </xf>
    <xf numFmtId="0" fontId="27" fillId="37" borderId="114" xfId="0" applyFont="1" applyFill="1" applyBorder="1" applyAlignment="1" applyProtection="1">
      <alignment vertical="center"/>
      <protection/>
    </xf>
    <xf numFmtId="0" fontId="1" fillId="0" borderId="114" xfId="0" applyFont="1" applyBorder="1" applyAlignment="1" applyProtection="1">
      <alignment vertical="center"/>
      <protection/>
    </xf>
    <xf numFmtId="0" fontId="1" fillId="0" borderId="115" xfId="0" applyFont="1" applyBorder="1" applyAlignment="1" applyProtection="1">
      <alignment vertical="center"/>
      <protection/>
    </xf>
    <xf numFmtId="193" fontId="1" fillId="33" borderId="75" xfId="0" applyNumberFormat="1" applyFont="1" applyFill="1" applyBorder="1" applyAlignment="1" applyProtection="1">
      <alignment horizontal="center"/>
      <protection/>
    </xf>
    <xf numFmtId="14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3" xfId="0" applyNumberFormat="1" applyFont="1" applyFill="1" applyBorder="1" applyAlignment="1" applyProtection="1">
      <alignment vertical="center"/>
      <protection/>
    </xf>
    <xf numFmtId="49" fontId="1" fillId="0" borderId="116" xfId="0" applyNumberFormat="1" applyFont="1" applyFill="1" applyBorder="1" applyAlignment="1" applyProtection="1">
      <alignment horizontal="right" vertical="center"/>
      <protection/>
    </xf>
    <xf numFmtId="0" fontId="1" fillId="0" borderId="117" xfId="0" applyFont="1" applyFill="1" applyBorder="1" applyAlignment="1" applyProtection="1">
      <alignment vertical="center"/>
      <protection/>
    </xf>
    <xf numFmtId="0" fontId="1" fillId="0" borderId="103" xfId="0" applyFont="1" applyFill="1" applyBorder="1" applyAlignment="1" applyProtection="1">
      <alignment vertical="center"/>
      <protection/>
    </xf>
    <xf numFmtId="0" fontId="1" fillId="0" borderId="104" xfId="0" applyFont="1" applyFill="1" applyBorder="1" applyAlignment="1" applyProtection="1">
      <alignment vertical="center"/>
      <protection/>
    </xf>
    <xf numFmtId="0" fontId="0" fillId="0" borderId="35" xfId="0" applyBorder="1" applyAlignment="1">
      <alignment vertical="center"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66" xfId="0" applyFont="1" applyBorder="1" applyAlignment="1">
      <alignment/>
    </xf>
    <xf numFmtId="49" fontId="1" fillId="0" borderId="10" xfId="0" applyNumberFormat="1" applyFont="1" applyBorder="1" applyAlignment="1" applyProtection="1">
      <alignment horizontal="center"/>
      <protection/>
    </xf>
    <xf numFmtId="0" fontId="0" fillId="35" borderId="19" xfId="0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 locked="0"/>
    </xf>
    <xf numFmtId="0" fontId="0" fillId="35" borderId="42" xfId="0" applyFill="1" applyBorder="1" applyAlignment="1" applyProtection="1">
      <alignment/>
      <protection locked="0"/>
    </xf>
    <xf numFmtId="0" fontId="0" fillId="35" borderId="62" xfId="0" applyFill="1" applyBorder="1" applyAlignment="1" applyProtection="1">
      <alignment/>
      <protection locked="0"/>
    </xf>
    <xf numFmtId="0" fontId="0" fillId="35" borderId="24" xfId="0" applyFill="1" applyBorder="1" applyAlignment="1" applyProtection="1">
      <alignment/>
      <protection locked="0"/>
    </xf>
    <xf numFmtId="0" fontId="0" fillId="35" borderId="43" xfId="0" applyFill="1" applyBorder="1" applyAlignment="1" applyProtection="1">
      <alignment/>
      <protection locked="0"/>
    </xf>
    <xf numFmtId="0" fontId="1" fillId="35" borderId="62" xfId="0" applyFont="1" applyFill="1" applyBorder="1" applyAlignment="1" applyProtection="1">
      <alignment vertical="center"/>
      <protection locked="0"/>
    </xf>
    <xf numFmtId="0" fontId="1" fillId="35" borderId="24" xfId="0" applyFont="1" applyFill="1" applyBorder="1" applyAlignment="1" applyProtection="1">
      <alignment vertical="center"/>
      <protection locked="0"/>
    </xf>
    <xf numFmtId="0" fontId="1" fillId="35" borderId="43" xfId="0" applyFont="1" applyFill="1" applyBorder="1" applyAlignment="1" applyProtection="1">
      <alignment vertical="center"/>
      <protection locked="0"/>
    </xf>
    <xf numFmtId="0" fontId="1" fillId="35" borderId="63" xfId="0" applyFont="1" applyFill="1" applyBorder="1" applyAlignment="1" applyProtection="1">
      <alignment vertical="center"/>
      <protection locked="0"/>
    </xf>
    <xf numFmtId="0" fontId="1" fillId="35" borderId="12" xfId="0" applyFont="1" applyFill="1" applyBorder="1" applyAlignment="1" applyProtection="1">
      <alignment vertical="center"/>
      <protection locked="0"/>
    </xf>
    <xf numFmtId="0" fontId="1" fillId="35" borderId="75" xfId="0" applyFont="1" applyFill="1" applyBorder="1" applyAlignment="1" applyProtection="1">
      <alignment vertical="center"/>
      <protection locked="0"/>
    </xf>
    <xf numFmtId="0" fontId="29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1"/>
  </sheetPr>
  <dimension ref="A1:BP148"/>
  <sheetViews>
    <sheetView showGridLines="0" tabSelected="1" zoomScalePageLayoutView="0" workbookViewId="0" topLeftCell="A40">
      <selection activeCell="B78" sqref="B78"/>
    </sheetView>
  </sheetViews>
  <sheetFormatPr defaultColWidth="9.625" defaultRowHeight="12.75"/>
  <cols>
    <col min="1" max="1" width="2.75390625" style="355" customWidth="1"/>
    <col min="2" max="2" width="8.75390625" style="355" customWidth="1"/>
    <col min="3" max="3" width="6.75390625" style="355" customWidth="1"/>
    <col min="4" max="4" width="8.625" style="355" customWidth="1"/>
    <col min="5" max="5" width="7.625" style="355" customWidth="1"/>
    <col min="6" max="6" width="9.125" style="355" customWidth="1"/>
    <col min="7" max="7" width="9.625" style="355" customWidth="1"/>
    <col min="8" max="8" width="7.625" style="355" customWidth="1"/>
    <col min="9" max="9" width="15.75390625" style="355" customWidth="1"/>
    <col min="10" max="16384" width="9.625" style="355" customWidth="1"/>
  </cols>
  <sheetData>
    <row r="1" spans="1:9" ht="14.25" thickBot="1" thickTop="1">
      <c r="A1" s="351" t="s">
        <v>80</v>
      </c>
      <c r="B1" s="352"/>
      <c r="C1" s="353"/>
      <c r="D1" s="353"/>
      <c r="E1" s="353"/>
      <c r="F1" s="353"/>
      <c r="G1" s="353"/>
      <c r="H1" s="353"/>
      <c r="I1" s="354"/>
    </row>
    <row r="2" spans="1:9" ht="12.75">
      <c r="A2" s="356"/>
      <c r="B2" s="357" t="s">
        <v>2</v>
      </c>
      <c r="C2" s="358"/>
      <c r="D2" s="358"/>
      <c r="E2" s="358"/>
      <c r="F2" s="358"/>
      <c r="G2" s="359"/>
      <c r="H2" s="359"/>
      <c r="I2" s="589">
        <v>38980</v>
      </c>
    </row>
    <row r="3" spans="1:9" ht="13.5" thickBot="1">
      <c r="A3" s="356"/>
      <c r="B3" s="357"/>
      <c r="C3" s="358"/>
      <c r="D3" s="358"/>
      <c r="E3" s="358"/>
      <c r="F3" s="358"/>
      <c r="G3" s="359"/>
      <c r="H3" s="359"/>
      <c r="I3" s="360"/>
    </row>
    <row r="4" spans="1:9" ht="13.5" thickBot="1">
      <c r="A4" s="356"/>
      <c r="B4" s="357"/>
      <c r="C4" s="361" t="s">
        <v>17</v>
      </c>
      <c r="D4" s="362"/>
      <c r="E4" s="362"/>
      <c r="F4" s="362"/>
      <c r="G4" s="363"/>
      <c r="H4" s="364"/>
      <c r="I4" s="360"/>
    </row>
    <row r="5" spans="1:9" ht="13.5" thickBot="1">
      <c r="A5" s="356"/>
      <c r="B5" s="357"/>
      <c r="C5" s="358"/>
      <c r="D5" s="358"/>
      <c r="E5" s="358"/>
      <c r="F5" s="358"/>
      <c r="G5" s="359"/>
      <c r="H5" s="359"/>
      <c r="I5" s="360"/>
    </row>
    <row r="6" spans="1:9" ht="12.75">
      <c r="A6" s="365" t="s">
        <v>42</v>
      </c>
      <c r="B6" s="366"/>
      <c r="C6" s="367"/>
      <c r="D6" s="367"/>
      <c r="E6" s="367"/>
      <c r="F6" s="367"/>
      <c r="G6" s="368"/>
      <c r="H6" s="368"/>
      <c r="I6" s="369"/>
    </row>
    <row r="7" spans="1:9" ht="12.75">
      <c r="A7" s="370"/>
      <c r="B7" s="358" t="s">
        <v>4</v>
      </c>
      <c r="C7" s="357"/>
      <c r="D7" s="358"/>
      <c r="E7" s="358"/>
      <c r="F7" s="358"/>
      <c r="G7" s="359"/>
      <c r="H7" s="359"/>
      <c r="I7" s="360"/>
    </row>
    <row r="8" spans="1:9" ht="12.75">
      <c r="A8" s="370"/>
      <c r="B8" s="358" t="s">
        <v>126</v>
      </c>
      <c r="C8" s="357"/>
      <c r="D8" s="358"/>
      <c r="E8" s="358"/>
      <c r="F8" s="358"/>
      <c r="G8" s="359"/>
      <c r="H8" s="359"/>
      <c r="I8" s="360"/>
    </row>
    <row r="9" spans="1:9" ht="12.75">
      <c r="A9" s="370"/>
      <c r="B9" s="358" t="s">
        <v>18</v>
      </c>
      <c r="C9" s="357"/>
      <c r="D9" s="358"/>
      <c r="E9" s="358"/>
      <c r="F9" s="358"/>
      <c r="G9" s="359"/>
      <c r="H9" s="359"/>
      <c r="I9" s="360"/>
    </row>
    <row r="10" spans="1:9" ht="12.75">
      <c r="A10" s="370"/>
      <c r="B10" s="358" t="s">
        <v>19</v>
      </c>
      <c r="C10" s="357"/>
      <c r="D10" s="358"/>
      <c r="E10" s="358"/>
      <c r="F10" s="358"/>
      <c r="G10" s="359"/>
      <c r="H10" s="359"/>
      <c r="I10" s="360"/>
    </row>
    <row r="11" spans="1:9" ht="12.75">
      <c r="A11" s="370"/>
      <c r="B11" s="358" t="s">
        <v>13</v>
      </c>
      <c r="C11" s="357"/>
      <c r="D11" s="358"/>
      <c r="E11" s="358"/>
      <c r="F11" s="358"/>
      <c r="G11" s="359"/>
      <c r="H11" s="359"/>
      <c r="I11" s="360"/>
    </row>
    <row r="12" spans="1:9" ht="12.75">
      <c r="A12" s="370"/>
      <c r="B12" s="358" t="s">
        <v>57</v>
      </c>
      <c r="C12" s="357"/>
      <c r="D12" s="358"/>
      <c r="E12" s="358"/>
      <c r="F12" s="358"/>
      <c r="G12" s="359"/>
      <c r="H12" s="359"/>
      <c r="I12" s="360"/>
    </row>
    <row r="13" spans="1:9" ht="12.75">
      <c r="A13" s="370"/>
      <c r="B13" s="358" t="s">
        <v>58</v>
      </c>
      <c r="C13" s="357"/>
      <c r="D13" s="358"/>
      <c r="E13" s="358"/>
      <c r="F13" s="358"/>
      <c r="G13" s="359"/>
      <c r="H13" s="359"/>
      <c r="I13" s="360"/>
    </row>
    <row r="14" spans="1:9" ht="12.75">
      <c r="A14" s="370"/>
      <c r="B14" s="358" t="s">
        <v>72</v>
      </c>
      <c r="C14" s="357"/>
      <c r="D14" s="358"/>
      <c r="E14" s="358"/>
      <c r="F14" s="358"/>
      <c r="G14" s="359"/>
      <c r="H14" s="359"/>
      <c r="I14" s="360"/>
    </row>
    <row r="15" spans="1:9" ht="12.75">
      <c r="A15" s="370"/>
      <c r="B15" s="358" t="s">
        <v>47</v>
      </c>
      <c r="C15" s="357"/>
      <c r="D15" s="358"/>
      <c r="E15" s="358"/>
      <c r="F15" s="358"/>
      <c r="G15" s="359"/>
      <c r="H15" s="359"/>
      <c r="I15" s="360"/>
    </row>
    <row r="16" spans="1:9" ht="12.75">
      <c r="A16" s="370"/>
      <c r="B16" s="358" t="s">
        <v>48</v>
      </c>
      <c r="C16" s="357"/>
      <c r="D16" s="358"/>
      <c r="E16" s="358"/>
      <c r="F16" s="358"/>
      <c r="G16" s="359"/>
      <c r="H16" s="359"/>
      <c r="I16" s="360"/>
    </row>
    <row r="17" spans="1:9" ht="12.75">
      <c r="A17" s="370"/>
      <c r="B17" s="358" t="s">
        <v>56</v>
      </c>
      <c r="C17" s="357"/>
      <c r="D17" s="358"/>
      <c r="E17" s="358"/>
      <c r="F17" s="358"/>
      <c r="G17" s="359"/>
      <c r="H17" s="359"/>
      <c r="I17" s="360"/>
    </row>
    <row r="18" spans="1:9" ht="12.75">
      <c r="A18" s="370"/>
      <c r="B18" s="358" t="s">
        <v>112</v>
      </c>
      <c r="C18" s="357"/>
      <c r="D18" s="358"/>
      <c r="E18" s="358"/>
      <c r="F18" s="358"/>
      <c r="G18" s="359"/>
      <c r="H18" s="359"/>
      <c r="I18" s="360"/>
    </row>
    <row r="19" spans="1:9" ht="12.75">
      <c r="A19" s="370"/>
      <c r="B19" s="358" t="s">
        <v>37</v>
      </c>
      <c r="C19" s="357"/>
      <c r="D19" s="358"/>
      <c r="E19" s="358"/>
      <c r="F19" s="358"/>
      <c r="G19" s="359"/>
      <c r="H19" s="359"/>
      <c r="I19" s="360"/>
    </row>
    <row r="20" spans="1:9" ht="12.75">
      <c r="A20" s="370"/>
      <c r="B20" s="358" t="s">
        <v>41</v>
      </c>
      <c r="C20" s="357"/>
      <c r="D20" s="358"/>
      <c r="E20" s="358"/>
      <c r="F20" s="358"/>
      <c r="G20" s="359"/>
      <c r="H20" s="359"/>
      <c r="I20" s="360"/>
    </row>
    <row r="21" spans="1:9" ht="12.75">
      <c r="A21" s="370"/>
      <c r="B21" s="358" t="s">
        <v>39</v>
      </c>
      <c r="C21" s="357"/>
      <c r="D21" s="358"/>
      <c r="E21" s="358"/>
      <c r="F21" s="358"/>
      <c r="G21" s="359"/>
      <c r="H21" s="359"/>
      <c r="I21" s="360"/>
    </row>
    <row r="22" spans="1:9" ht="12.75">
      <c r="A22" s="370"/>
      <c r="B22" s="358" t="s">
        <v>59</v>
      </c>
      <c r="C22" s="357"/>
      <c r="D22" s="358"/>
      <c r="E22" s="358"/>
      <c r="F22" s="358"/>
      <c r="G22" s="359"/>
      <c r="H22" s="359"/>
      <c r="I22" s="360"/>
    </row>
    <row r="23" spans="1:9" ht="12.75">
      <c r="A23" s="370"/>
      <c r="B23" s="358" t="s">
        <v>20</v>
      </c>
      <c r="C23" s="357"/>
      <c r="D23" s="358"/>
      <c r="E23" s="358"/>
      <c r="F23" s="358"/>
      <c r="G23" s="359"/>
      <c r="H23" s="359"/>
      <c r="I23" s="360"/>
    </row>
    <row r="24" spans="1:9" ht="12.75">
      <c r="A24" s="370"/>
      <c r="B24" s="358" t="s">
        <v>21</v>
      </c>
      <c r="C24" s="357"/>
      <c r="D24" s="358"/>
      <c r="E24" s="358"/>
      <c r="F24" s="358"/>
      <c r="G24" s="359"/>
      <c r="H24" s="359"/>
      <c r="I24" s="360"/>
    </row>
    <row r="25" spans="1:9" ht="12.75">
      <c r="A25" s="370"/>
      <c r="B25" s="358" t="s">
        <v>106</v>
      </c>
      <c r="C25" s="357"/>
      <c r="D25" s="358"/>
      <c r="E25" s="358"/>
      <c r="F25" s="358"/>
      <c r="G25" s="359"/>
      <c r="H25" s="359"/>
      <c r="I25" s="360"/>
    </row>
    <row r="26" spans="1:9" ht="12.75">
      <c r="A26" s="370"/>
      <c r="B26" s="358" t="s">
        <v>101</v>
      </c>
      <c r="C26" s="357"/>
      <c r="D26" s="358"/>
      <c r="E26" s="358"/>
      <c r="F26" s="358"/>
      <c r="G26" s="359"/>
      <c r="H26" s="359"/>
      <c r="I26" s="360"/>
    </row>
    <row r="27" spans="1:9" ht="12.75">
      <c r="A27" s="370"/>
      <c r="B27" s="358" t="s">
        <v>102</v>
      </c>
      <c r="C27" s="357"/>
      <c r="D27" s="358"/>
      <c r="E27" s="358"/>
      <c r="F27" s="358"/>
      <c r="G27" s="359"/>
      <c r="H27" s="359"/>
      <c r="I27" s="360"/>
    </row>
    <row r="28" spans="1:9" ht="12.75">
      <c r="A28" s="370"/>
      <c r="B28" s="358" t="s">
        <v>107</v>
      </c>
      <c r="C28" s="357"/>
      <c r="D28" s="358"/>
      <c r="E28" s="358"/>
      <c r="F28" s="358"/>
      <c r="G28" s="359"/>
      <c r="H28" s="359"/>
      <c r="I28" s="360"/>
    </row>
    <row r="29" spans="1:9" ht="12.75">
      <c r="A29" s="370"/>
      <c r="B29" s="358" t="s">
        <v>103</v>
      </c>
      <c r="C29" s="357"/>
      <c r="D29" s="358"/>
      <c r="E29" s="358"/>
      <c r="F29" s="358"/>
      <c r="G29" s="359"/>
      <c r="H29" s="359"/>
      <c r="I29" s="360"/>
    </row>
    <row r="30" spans="1:9" ht="12.75">
      <c r="A30" s="370"/>
      <c r="B30" s="358" t="s">
        <v>104</v>
      </c>
      <c r="C30" s="357"/>
      <c r="D30" s="358"/>
      <c r="E30" s="358"/>
      <c r="F30" s="358"/>
      <c r="G30" s="359"/>
      <c r="H30" s="359"/>
      <c r="I30" s="360"/>
    </row>
    <row r="31" spans="1:9" ht="12.75">
      <c r="A31" s="370"/>
      <c r="B31" s="358" t="s">
        <v>157</v>
      </c>
      <c r="C31" s="357"/>
      <c r="D31" s="358"/>
      <c r="E31" s="358"/>
      <c r="F31" s="358"/>
      <c r="G31" s="359"/>
      <c r="H31" s="359"/>
      <c r="I31" s="360"/>
    </row>
    <row r="32" spans="1:9" ht="12.75">
      <c r="A32" s="370"/>
      <c r="B32" s="358" t="s">
        <v>153</v>
      </c>
      <c r="C32" s="357"/>
      <c r="D32" s="358"/>
      <c r="E32" s="358"/>
      <c r="F32" s="358"/>
      <c r="G32" s="359"/>
      <c r="H32" s="359"/>
      <c r="I32" s="360"/>
    </row>
    <row r="33" spans="1:9" ht="12.75">
      <c r="A33" s="370"/>
      <c r="B33" s="358" t="s">
        <v>158</v>
      </c>
      <c r="C33" s="357"/>
      <c r="D33" s="358"/>
      <c r="E33" s="358"/>
      <c r="F33" s="358"/>
      <c r="G33" s="359"/>
      <c r="H33" s="359"/>
      <c r="I33" s="360"/>
    </row>
    <row r="34" spans="1:9" ht="12.75">
      <c r="A34" s="370"/>
      <c r="B34" s="358" t="s">
        <v>154</v>
      </c>
      <c r="C34" s="357"/>
      <c r="D34" s="358"/>
      <c r="E34" s="358"/>
      <c r="F34" s="358"/>
      <c r="G34" s="359"/>
      <c r="H34" s="359"/>
      <c r="I34" s="360"/>
    </row>
    <row r="35" spans="1:9" ht="12.75">
      <c r="A35" s="370"/>
      <c r="B35" s="358" t="s">
        <v>168</v>
      </c>
      <c r="C35" s="357"/>
      <c r="D35" s="358"/>
      <c r="E35" s="358"/>
      <c r="F35" s="358"/>
      <c r="G35" s="359"/>
      <c r="H35" s="359"/>
      <c r="I35" s="360"/>
    </row>
    <row r="36" spans="1:9" ht="12.75">
      <c r="A36" s="370"/>
      <c r="B36" s="358" t="s">
        <v>69</v>
      </c>
      <c r="C36" s="357"/>
      <c r="D36" s="358"/>
      <c r="E36" s="358"/>
      <c r="F36" s="358"/>
      <c r="G36" s="359"/>
      <c r="H36" s="359"/>
      <c r="I36" s="360"/>
    </row>
    <row r="37" spans="1:9" ht="12.75">
      <c r="A37" s="370"/>
      <c r="B37" s="358" t="s">
        <v>105</v>
      </c>
      <c r="C37" s="357"/>
      <c r="D37" s="358"/>
      <c r="E37" s="358"/>
      <c r="F37" s="358"/>
      <c r="G37" s="359"/>
      <c r="H37" s="359"/>
      <c r="I37" s="360"/>
    </row>
    <row r="38" spans="1:9" ht="12.75">
      <c r="A38" s="370"/>
      <c r="B38" s="358" t="s">
        <v>155</v>
      </c>
      <c r="C38" s="357"/>
      <c r="D38" s="371"/>
      <c r="E38" s="371"/>
      <c r="F38" s="358"/>
      <c r="G38" s="359"/>
      <c r="H38" s="359"/>
      <c r="I38" s="360"/>
    </row>
    <row r="39" spans="1:9" ht="12.75">
      <c r="A39" s="370"/>
      <c r="B39" s="358" t="s">
        <v>14</v>
      </c>
      <c r="C39" s="357"/>
      <c r="D39" s="358"/>
      <c r="E39" s="358"/>
      <c r="F39" s="358"/>
      <c r="G39" s="359"/>
      <c r="H39" s="359"/>
      <c r="I39" s="360"/>
    </row>
    <row r="40" spans="1:9" ht="12.75">
      <c r="A40" s="370"/>
      <c r="B40" s="358" t="s">
        <v>169</v>
      </c>
      <c r="C40" s="357"/>
      <c r="D40" s="358"/>
      <c r="E40" s="358"/>
      <c r="F40" s="358"/>
      <c r="G40" s="359"/>
      <c r="H40" s="359"/>
      <c r="I40" s="360"/>
    </row>
    <row r="41" spans="1:9" ht="13.5" thickBot="1">
      <c r="A41" s="372"/>
      <c r="B41" s="373"/>
      <c r="C41" s="374"/>
      <c r="D41" s="374"/>
      <c r="E41" s="374"/>
      <c r="F41" s="374"/>
      <c r="G41" s="375"/>
      <c r="H41" s="375"/>
      <c r="I41" s="376"/>
    </row>
    <row r="42" spans="1:9" ht="13.5" thickBot="1">
      <c r="A42" s="377" t="s">
        <v>43</v>
      </c>
      <c r="B42" s="357"/>
      <c r="C42" s="358"/>
      <c r="D42" s="358"/>
      <c r="E42" s="358"/>
      <c r="F42" s="358"/>
      <c r="G42" s="359"/>
      <c r="H42" s="359"/>
      <c r="I42" s="360"/>
    </row>
    <row r="43" spans="1:10" ht="12.75">
      <c r="A43" s="356"/>
      <c r="B43" s="378" t="str">
        <f>IF(AND(G$52=G$58,SUM(B101:B113)=G59)," ","WARNING !!!")</f>
        <v>WARNING !!!</v>
      </c>
      <c r="C43" s="379"/>
      <c r="D43" s="379"/>
      <c r="E43" s="379"/>
      <c r="F43" s="379"/>
      <c r="G43" s="380"/>
      <c r="H43" s="381"/>
      <c r="I43" s="382"/>
      <c r="J43" s="383"/>
    </row>
    <row r="44" spans="1:10" ht="12.75">
      <c r="A44" s="356"/>
      <c r="B44" s="384" t="str">
        <f>IF(AND(G$52=G$58,SUM(B101:B113)=G59)," ","AN INPUT ERROR HAS BEEN MADE")</f>
        <v>AN INPUT ERROR HAS BEEN MADE</v>
      </c>
      <c r="C44" s="385"/>
      <c r="D44" s="385"/>
      <c r="E44" s="385"/>
      <c r="F44" s="385"/>
      <c r="G44" s="386"/>
      <c r="H44" s="381"/>
      <c r="I44" s="382"/>
      <c r="J44" s="383"/>
    </row>
    <row r="45" spans="1:10" ht="12.75">
      <c r="A45" s="356"/>
      <c r="B45" s="384" t="str">
        <f>IF(SUM(B101:B113)=G59," ","UNDEFINED SCORES SHOULD BE LEFT BLANK")</f>
        <v> </v>
      </c>
      <c r="C45" s="385"/>
      <c r="D45" s="385"/>
      <c r="E45" s="385"/>
      <c r="F45" s="385"/>
      <c r="G45" s="386"/>
      <c r="H45" s="381"/>
      <c r="I45" s="382"/>
      <c r="J45" s="383"/>
    </row>
    <row r="46" spans="1:10" ht="13.5" thickBot="1">
      <c r="A46" s="356"/>
      <c r="B46" s="387" t="str">
        <f>IF(AND($G$52=$G$58,SUM($B$101:$B$113)=$G$59)," ","THE  OUTPUT  IS  UNRELIABLE   !!!")</f>
        <v>THE  OUTPUT  IS  UNRELIABLE   !!!</v>
      </c>
      <c r="C46" s="388"/>
      <c r="D46" s="388"/>
      <c r="E46" s="388"/>
      <c r="F46" s="388"/>
      <c r="G46" s="389"/>
      <c r="H46" s="381"/>
      <c r="I46" s="382"/>
      <c r="J46" s="383"/>
    </row>
    <row r="47" spans="1:9" ht="12.75">
      <c r="A47" s="390" t="s">
        <v>78</v>
      </c>
      <c r="B47" s="357"/>
      <c r="C47" s="358"/>
      <c r="D47" s="358"/>
      <c r="E47" s="358"/>
      <c r="F47" s="358"/>
      <c r="G47" s="359"/>
      <c r="H47" s="359"/>
      <c r="I47" s="360"/>
    </row>
    <row r="48" spans="1:9" ht="12.75">
      <c r="A48" s="391" t="s">
        <v>70</v>
      </c>
      <c r="B48" s="357"/>
      <c r="C48" s="358"/>
      <c r="D48" s="358"/>
      <c r="E48" s="358"/>
      <c r="F48" s="358"/>
      <c r="G48" s="359"/>
      <c r="H48" s="359"/>
      <c r="I48" s="360"/>
    </row>
    <row r="49" spans="1:9" ht="12.75">
      <c r="A49" s="391" t="s">
        <v>125</v>
      </c>
      <c r="B49" s="357"/>
      <c r="C49" s="358"/>
      <c r="D49" s="358"/>
      <c r="E49" s="358"/>
      <c r="F49" s="358"/>
      <c r="G49" s="359"/>
      <c r="H49" s="359"/>
      <c r="I49" s="360"/>
    </row>
    <row r="50" spans="1:9" ht="12.75">
      <c r="A50" s="391" t="s">
        <v>149</v>
      </c>
      <c r="B50" s="357"/>
      <c r="C50" s="358"/>
      <c r="D50" s="358"/>
      <c r="H50" s="392">
        <f>G58</f>
        <v>199.99999999999997</v>
      </c>
      <c r="I50" s="360"/>
    </row>
    <row r="51" spans="1:9" ht="13.5" thickBot="1">
      <c r="A51" s="391" t="s">
        <v>71</v>
      </c>
      <c r="B51" s="357"/>
      <c r="C51" s="358"/>
      <c r="D51" s="358"/>
      <c r="E51" s="358"/>
      <c r="F51" s="358"/>
      <c r="G51" s="359"/>
      <c r="H51" s="359"/>
      <c r="I51" s="360"/>
    </row>
    <row r="52" spans="1:11" ht="12.75">
      <c r="A52" s="393"/>
      <c r="B52" s="394"/>
      <c r="C52" s="395"/>
      <c r="D52" s="396"/>
      <c r="E52" s="368"/>
      <c r="F52" s="397" t="s">
        <v>156</v>
      </c>
      <c r="G52" s="398">
        <v>50674</v>
      </c>
      <c r="H52" s="399">
        <f>IF(G52&lt;0.5," (must be entered !!)","")</f>
      </c>
      <c r="I52" s="400"/>
      <c r="J52" s="383"/>
      <c r="K52" s="401"/>
    </row>
    <row r="53" spans="1:11" ht="12.75">
      <c r="A53" s="356"/>
      <c r="B53" s="402" t="s">
        <v>98</v>
      </c>
      <c r="C53" s="371"/>
      <c r="D53" s="371"/>
      <c r="E53" s="371"/>
      <c r="F53" s="371"/>
      <c r="G53" s="403"/>
      <c r="H53" s="399"/>
      <c r="I53" s="400"/>
      <c r="J53" s="383"/>
      <c r="K53" s="401"/>
    </row>
    <row r="54" spans="1:11" ht="12.75">
      <c r="A54" s="356"/>
      <c r="B54" s="404" t="s">
        <v>87</v>
      </c>
      <c r="C54" s="405"/>
      <c r="D54" s="406"/>
      <c r="E54" s="407" t="s">
        <v>85</v>
      </c>
      <c r="F54" s="405"/>
      <c r="G54" s="408"/>
      <c r="H54" s="401"/>
      <c r="I54" s="409"/>
      <c r="J54" s="383"/>
      <c r="K54" s="401"/>
    </row>
    <row r="55" spans="1:11" ht="13.5" thickBot="1">
      <c r="A55" s="356"/>
      <c r="B55" s="410"/>
      <c r="C55" s="411">
        <v>1</v>
      </c>
      <c r="D55" s="412" t="str">
        <f>IF(AND(F$55&gt;C$55,C$55&lt;2)," ","ERROR  ?")</f>
        <v> </v>
      </c>
      <c r="E55" s="413"/>
      <c r="F55" s="411">
        <v>4</v>
      </c>
      <c r="G55" s="414" t="str">
        <f>IF(AND(F$55&gt;C$55,F$55&lt;13)," "," ERROR  ?")</f>
        <v> </v>
      </c>
      <c r="H55" s="401"/>
      <c r="I55" s="409"/>
      <c r="J55" s="383"/>
      <c r="K55" s="401"/>
    </row>
    <row r="56" spans="1:11" ht="13.5" thickBot="1">
      <c r="A56" s="356"/>
      <c r="B56" s="415" t="s">
        <v>170</v>
      </c>
      <c r="C56" s="416"/>
      <c r="F56" s="417">
        <v>0</v>
      </c>
      <c r="G56" s="418" t="str">
        <f>IF(OR(F56=0,F56=1)," ","  ERROR !!")</f>
        <v> </v>
      </c>
      <c r="H56" s="401"/>
      <c r="I56" s="409"/>
      <c r="J56" s="383"/>
      <c r="K56" s="401"/>
    </row>
    <row r="57" spans="1:11" ht="12.75">
      <c r="A57" s="356"/>
      <c r="B57" s="419" t="s">
        <v>91</v>
      </c>
      <c r="C57" s="420"/>
      <c r="D57" s="421"/>
      <c r="E57" s="422"/>
      <c r="F57" s="423"/>
      <c r="G57" s="424">
        <f>F55-C55+1</f>
        <v>4</v>
      </c>
      <c r="H57" s="401"/>
      <c r="I57" s="409"/>
      <c r="J57" s="383"/>
      <c r="K57" s="401"/>
    </row>
    <row r="58" spans="1:11" ht="12.75">
      <c r="A58" s="356"/>
      <c r="B58" s="425" t="s">
        <v>124</v>
      </c>
      <c r="C58" s="358"/>
      <c r="D58" s="358"/>
      <c r="E58" s="358"/>
      <c r="F58" s="426"/>
      <c r="G58" s="427">
        <f>SUM(B79,G59)</f>
        <v>199.99999999999997</v>
      </c>
      <c r="H58" s="399" t="str">
        <f>IF(G52=G58," ","  cf.  Total  number !")</f>
        <v>  cf.  Total  number !</v>
      </c>
      <c r="I58" s="409"/>
      <c r="J58" s="383"/>
      <c r="K58" s="401"/>
    </row>
    <row r="59" spans="1:11" ht="13.5" thickBot="1">
      <c r="A59" s="356"/>
      <c r="B59" s="428" t="s">
        <v>167</v>
      </c>
      <c r="C59" s="429"/>
      <c r="D59" s="430"/>
      <c r="E59" s="374"/>
      <c r="F59" s="431"/>
      <c r="G59" s="432">
        <f>SUM(A101:A113)</f>
        <v>99.99999999999999</v>
      </c>
      <c r="H59" s="433"/>
      <c r="I59" s="434"/>
      <c r="J59" s="383"/>
      <c r="K59" s="401"/>
    </row>
    <row r="60" spans="1:11" ht="12.75">
      <c r="A60" s="377" t="s">
        <v>76</v>
      </c>
      <c r="B60" s="435"/>
      <c r="C60" s="385"/>
      <c r="D60" s="385"/>
      <c r="E60" s="385"/>
      <c r="F60" s="436" t="s">
        <v>73</v>
      </c>
      <c r="G60" s="437"/>
      <c r="H60" s="381"/>
      <c r="I60" s="382"/>
      <c r="J60" s="383"/>
      <c r="K60" s="401"/>
    </row>
    <row r="61" spans="1:11" ht="13.5" thickBot="1">
      <c r="A61" s="356"/>
      <c r="B61" s="438" t="str">
        <f>IF(AND($G$52=$G$58,SUM($B$101:$B$113)=$G$59)," ","  WARNING !!!   SEE   MESSAGES. ")</f>
        <v>  WARNING !!!   SEE   MESSAGES. </v>
      </c>
      <c r="C61" s="439"/>
      <c r="D61" s="440"/>
      <c r="E61" s="441"/>
      <c r="F61" s="442"/>
      <c r="G61" s="381"/>
      <c r="H61" s="381"/>
      <c r="I61" s="382"/>
      <c r="J61" s="383"/>
      <c r="K61" s="401"/>
    </row>
    <row r="62" spans="1:11" ht="13.5" thickBot="1">
      <c r="A62" s="356"/>
      <c r="B62" s="443" t="s">
        <v>33</v>
      </c>
      <c r="C62" s="444" t="s">
        <v>44</v>
      </c>
      <c r="D62" s="445"/>
      <c r="E62" s="446"/>
      <c r="F62" s="447" t="s">
        <v>29</v>
      </c>
      <c r="G62" s="448"/>
      <c r="H62" s="448"/>
      <c r="I62" s="449"/>
      <c r="J62" s="383"/>
      <c r="K62" s="401"/>
    </row>
    <row r="63" spans="1:11" ht="14.25" thickBot="1">
      <c r="A63" s="356"/>
      <c r="B63" s="450" t="s">
        <v>34</v>
      </c>
      <c r="C63" s="451" t="s">
        <v>0</v>
      </c>
      <c r="D63" s="452" t="s">
        <v>36</v>
      </c>
      <c r="E63" s="446"/>
      <c r="F63" s="453" t="s">
        <v>30</v>
      </c>
      <c r="G63" s="454" t="str">
        <f>IF(AND($G$52=$G$58,SUM($B$101:$B$113)=$G$59)," ","OUTPUT UNRELIABLE !!")</f>
        <v>OUTPUT UNRELIABLE !!</v>
      </c>
      <c r="H63" s="455"/>
      <c r="I63" s="456" t="s">
        <v>40</v>
      </c>
      <c r="J63" s="383"/>
      <c r="K63" s="401"/>
    </row>
    <row r="64" spans="1:11" ht="12.75">
      <c r="A64" s="356"/>
      <c r="B64" s="457" t="s">
        <v>77</v>
      </c>
      <c r="C64" s="358"/>
      <c r="D64" s="358"/>
      <c r="E64" s="458"/>
      <c r="F64" s="459" t="s">
        <v>31</v>
      </c>
      <c r="G64" s="460" t="s">
        <v>122</v>
      </c>
      <c r="H64" s="461"/>
      <c r="I64" s="382" t="s">
        <v>60</v>
      </c>
      <c r="J64" s="383"/>
      <c r="K64" s="401"/>
    </row>
    <row r="65" spans="1:11" ht="13.5" thickBot="1">
      <c r="A65" s="356"/>
      <c r="B65" s="457" t="s">
        <v>74</v>
      </c>
      <c r="C65" s="358"/>
      <c r="D65" s="358"/>
      <c r="E65" s="458"/>
      <c r="F65" s="462" t="s">
        <v>32</v>
      </c>
      <c r="G65" s="463" t="s">
        <v>123</v>
      </c>
      <c r="H65" s="464"/>
      <c r="I65" s="449" t="s">
        <v>32</v>
      </c>
      <c r="J65" s="383"/>
      <c r="K65" s="401"/>
    </row>
    <row r="66" spans="1:11" ht="12.75">
      <c r="A66" s="356"/>
      <c r="B66" s="465"/>
      <c r="C66" s="466">
        <v>12</v>
      </c>
      <c r="D66" s="467" t="str">
        <f>IF(OR(C66&lt;$C$55,C66&gt;$F$55)," ",10*(C66-C$55)/(F$55-C$55))</f>
        <v> </v>
      </c>
      <c r="E66" s="468"/>
      <c r="F66" s="469" t="str">
        <f aca="true" t="shared" si="0" ref="F66:F78">IF(OR(C101&lt;$C$55,C101&gt;$F$55,F$56=1)," ",C101)</f>
        <v> </v>
      </c>
      <c r="G66" s="470" t="str">
        <f aca="true" t="shared" si="1" ref="G66:G78">IF(OR($C101&lt;$C$55,$C101&gt;$F$55,$G$52&lt;$F$55,$G$52&gt;600)," ",IF($B101&gt;$G$59/200,100*$B101/$G$59,"&lt; 1"))</f>
        <v> </v>
      </c>
      <c r="H66" s="471" t="str">
        <f aca="true" t="shared" si="2" ref="H66:H78">IF(OR($C101&lt;$C$55,$C101&gt;$F$55,$G$52&lt;601)," ",IF($B101&gt;$G$59/2000,100*$B101/$G$59,"&lt; 0,1"))</f>
        <v> </v>
      </c>
      <c r="I66" s="472" t="str">
        <f>IF(OR(C101&lt;$C$55,C101&gt;$F$55,F$56=0)," ",F$55+C$55-F66)</f>
        <v> </v>
      </c>
      <c r="J66" s="383"/>
      <c r="K66" s="401"/>
    </row>
    <row r="67" spans="1:11" ht="12.75">
      <c r="A67" s="356"/>
      <c r="B67" s="465"/>
      <c r="C67" s="466">
        <v>11</v>
      </c>
      <c r="D67" s="467" t="str">
        <f aca="true" t="shared" si="3" ref="D67:D78">IF(OR(C67&lt;C$55,C67&gt;F$55)," ",10*(C67-C$55)/(F$55-C$55))</f>
        <v> </v>
      </c>
      <c r="E67" s="468"/>
      <c r="F67" s="473" t="str">
        <f t="shared" si="0"/>
        <v> </v>
      </c>
      <c r="G67" s="470" t="str">
        <f t="shared" si="1"/>
        <v> </v>
      </c>
      <c r="H67" s="471" t="str">
        <f t="shared" si="2"/>
        <v> </v>
      </c>
      <c r="I67" s="474" t="str">
        <f aca="true" t="shared" si="4" ref="I67:I78">IF(OR(C102&lt;$C$55,C102&gt;$F$55,F$56=0)," ",F$55+C$55-C102)</f>
        <v> </v>
      </c>
      <c r="J67" s="383"/>
      <c r="K67" s="401"/>
    </row>
    <row r="68" spans="1:11" ht="12.75">
      <c r="A68" s="356"/>
      <c r="B68" s="465"/>
      <c r="C68" s="466">
        <v>10</v>
      </c>
      <c r="D68" s="467" t="str">
        <f t="shared" si="3"/>
        <v> </v>
      </c>
      <c r="E68" s="468"/>
      <c r="F68" s="473" t="str">
        <f t="shared" si="0"/>
        <v> </v>
      </c>
      <c r="G68" s="470" t="str">
        <f t="shared" si="1"/>
        <v> </v>
      </c>
      <c r="H68" s="471" t="str">
        <f t="shared" si="2"/>
        <v> </v>
      </c>
      <c r="I68" s="474" t="str">
        <f t="shared" si="4"/>
        <v> </v>
      </c>
      <c r="J68" s="383"/>
      <c r="K68" s="401"/>
    </row>
    <row r="69" spans="1:11" ht="12.75">
      <c r="A69" s="356"/>
      <c r="B69" s="465"/>
      <c r="C69" s="466">
        <v>9</v>
      </c>
      <c r="D69" s="467" t="str">
        <f t="shared" si="3"/>
        <v> </v>
      </c>
      <c r="E69" s="468"/>
      <c r="F69" s="473" t="str">
        <f t="shared" si="0"/>
        <v> </v>
      </c>
      <c r="G69" s="470" t="str">
        <f t="shared" si="1"/>
        <v> </v>
      </c>
      <c r="H69" s="471" t="str">
        <f t="shared" si="2"/>
        <v> </v>
      </c>
      <c r="I69" s="474" t="str">
        <f t="shared" si="4"/>
        <v> </v>
      </c>
      <c r="J69" s="383"/>
      <c r="K69" s="401"/>
    </row>
    <row r="70" spans="1:11" ht="12.75">
      <c r="A70" s="356"/>
      <c r="B70" s="465"/>
      <c r="C70" s="466">
        <v>8</v>
      </c>
      <c r="D70" s="467" t="str">
        <f t="shared" si="3"/>
        <v> </v>
      </c>
      <c r="E70" s="468"/>
      <c r="F70" s="473" t="str">
        <f t="shared" si="0"/>
        <v> </v>
      </c>
      <c r="G70" s="470" t="str">
        <f t="shared" si="1"/>
        <v> </v>
      </c>
      <c r="H70" s="471" t="str">
        <f t="shared" si="2"/>
        <v> </v>
      </c>
      <c r="I70" s="474" t="str">
        <f t="shared" si="4"/>
        <v> </v>
      </c>
      <c r="J70" s="383"/>
      <c r="K70" s="401"/>
    </row>
    <row r="71" spans="1:11" ht="12.75">
      <c r="A71" s="356"/>
      <c r="B71" s="465"/>
      <c r="C71" s="466">
        <v>7</v>
      </c>
      <c r="D71" s="467" t="str">
        <f t="shared" si="3"/>
        <v> </v>
      </c>
      <c r="E71" s="468"/>
      <c r="F71" s="473" t="str">
        <f t="shared" si="0"/>
        <v> </v>
      </c>
      <c r="G71" s="470" t="str">
        <f t="shared" si="1"/>
        <v> </v>
      </c>
      <c r="H71" s="471" t="str">
        <f t="shared" si="2"/>
        <v> </v>
      </c>
      <c r="I71" s="474" t="str">
        <f t="shared" si="4"/>
        <v> </v>
      </c>
      <c r="J71" s="383"/>
      <c r="K71" s="401"/>
    </row>
    <row r="72" spans="1:11" ht="12.75">
      <c r="A72" s="356"/>
      <c r="B72" s="465"/>
      <c r="C72" s="466">
        <v>6</v>
      </c>
      <c r="D72" s="467" t="str">
        <f t="shared" si="3"/>
        <v> </v>
      </c>
      <c r="E72" s="468"/>
      <c r="F72" s="473" t="str">
        <f t="shared" si="0"/>
        <v> </v>
      </c>
      <c r="G72" s="470" t="str">
        <f t="shared" si="1"/>
        <v> </v>
      </c>
      <c r="H72" s="471" t="str">
        <f t="shared" si="2"/>
        <v> </v>
      </c>
      <c r="I72" s="474" t="str">
        <f t="shared" si="4"/>
        <v> </v>
      </c>
      <c r="J72" s="383"/>
      <c r="K72" s="401"/>
    </row>
    <row r="73" spans="1:11" ht="12.75">
      <c r="A73" s="356"/>
      <c r="B73" s="465"/>
      <c r="C73" s="466">
        <v>5</v>
      </c>
      <c r="D73" s="467" t="str">
        <f t="shared" si="3"/>
        <v> </v>
      </c>
      <c r="E73" s="468"/>
      <c r="F73" s="473" t="str">
        <f t="shared" si="0"/>
        <v> </v>
      </c>
      <c r="G73" s="470" t="str">
        <f t="shared" si="1"/>
        <v> </v>
      </c>
      <c r="H73" s="471" t="str">
        <f t="shared" si="2"/>
        <v> </v>
      </c>
      <c r="I73" s="474" t="str">
        <f t="shared" si="4"/>
        <v> </v>
      </c>
      <c r="J73" s="383"/>
      <c r="K73" s="401"/>
    </row>
    <row r="74" spans="1:11" ht="12.75">
      <c r="A74" s="356"/>
      <c r="B74" s="465">
        <v>16.86</v>
      </c>
      <c r="C74" s="466">
        <v>4</v>
      </c>
      <c r="D74" s="467">
        <f t="shared" si="3"/>
        <v>10</v>
      </c>
      <c r="E74" s="468"/>
      <c r="F74" s="473">
        <f t="shared" si="0"/>
        <v>4</v>
      </c>
      <c r="G74" s="470" t="str">
        <f t="shared" si="1"/>
        <v> </v>
      </c>
      <c r="H74" s="471">
        <f t="shared" si="2"/>
        <v>16.860000000000003</v>
      </c>
      <c r="I74" s="474" t="str">
        <f t="shared" si="4"/>
        <v> </v>
      </c>
      <c r="J74" s="383"/>
      <c r="K74" s="401"/>
    </row>
    <row r="75" spans="1:11" ht="12.75">
      <c r="A75" s="356"/>
      <c r="B75" s="465">
        <v>47.83</v>
      </c>
      <c r="C75" s="466">
        <v>3</v>
      </c>
      <c r="D75" s="467">
        <f t="shared" si="3"/>
        <v>6.666666666666667</v>
      </c>
      <c r="E75" s="468"/>
      <c r="F75" s="473">
        <f t="shared" si="0"/>
        <v>3</v>
      </c>
      <c r="G75" s="470" t="str">
        <f t="shared" si="1"/>
        <v> </v>
      </c>
      <c r="H75" s="471">
        <f t="shared" si="2"/>
        <v>47.830000000000005</v>
      </c>
      <c r="I75" s="474" t="str">
        <f t="shared" si="4"/>
        <v> </v>
      </c>
      <c r="J75" s="383"/>
      <c r="K75" s="401"/>
    </row>
    <row r="76" spans="1:11" ht="12.75">
      <c r="A76" s="356"/>
      <c r="B76" s="465">
        <v>30.29</v>
      </c>
      <c r="C76" s="466">
        <v>2</v>
      </c>
      <c r="D76" s="467">
        <f t="shared" si="3"/>
        <v>3.3333333333333335</v>
      </c>
      <c r="E76" s="468"/>
      <c r="F76" s="473">
        <f t="shared" si="0"/>
        <v>2</v>
      </c>
      <c r="G76" s="470" t="str">
        <f t="shared" si="1"/>
        <v> </v>
      </c>
      <c r="H76" s="471">
        <f t="shared" si="2"/>
        <v>30.290000000000003</v>
      </c>
      <c r="I76" s="474" t="str">
        <f t="shared" si="4"/>
        <v> </v>
      </c>
      <c r="J76" s="383"/>
      <c r="K76" s="401"/>
    </row>
    <row r="77" spans="1:11" ht="12.75">
      <c r="A77" s="356"/>
      <c r="B77" s="465">
        <v>5.02</v>
      </c>
      <c r="C77" s="466">
        <v>1</v>
      </c>
      <c r="D77" s="467">
        <f t="shared" si="3"/>
        <v>0</v>
      </c>
      <c r="E77" s="468"/>
      <c r="F77" s="473">
        <f t="shared" si="0"/>
        <v>1</v>
      </c>
      <c r="G77" s="470" t="str">
        <f t="shared" si="1"/>
        <v> </v>
      </c>
      <c r="H77" s="471">
        <f t="shared" si="2"/>
        <v>5.0200000000000005</v>
      </c>
      <c r="I77" s="474" t="str">
        <f t="shared" si="4"/>
        <v> </v>
      </c>
      <c r="J77" s="383"/>
      <c r="K77" s="401"/>
    </row>
    <row r="78" spans="1:11" ht="13.5" thickBot="1">
      <c r="A78" s="356"/>
      <c r="B78" s="475"/>
      <c r="C78" s="476">
        <v>0</v>
      </c>
      <c r="D78" s="477" t="str">
        <f t="shared" si="3"/>
        <v> </v>
      </c>
      <c r="E78" s="468"/>
      <c r="F78" s="478" t="str">
        <f t="shared" si="0"/>
        <v> </v>
      </c>
      <c r="G78" s="470" t="str">
        <f t="shared" si="1"/>
        <v> </v>
      </c>
      <c r="H78" s="471" t="str">
        <f t="shared" si="2"/>
        <v> </v>
      </c>
      <c r="I78" s="479" t="str">
        <f t="shared" si="4"/>
        <v> </v>
      </c>
      <c r="J78" s="383"/>
      <c r="K78" s="401"/>
    </row>
    <row r="79" spans="1:11" ht="13.5" thickBot="1">
      <c r="A79" s="356"/>
      <c r="B79" s="480">
        <f>B74+B75+B76+B77</f>
        <v>99.99999999999999</v>
      </c>
      <c r="C79" s="481" t="s">
        <v>120</v>
      </c>
      <c r="D79" s="482"/>
      <c r="E79" s="468"/>
      <c r="F79" s="483" t="s">
        <v>136</v>
      </c>
      <c r="G79" s="484">
        <f>IF(OR((SUM($B66:$B78))=(SUM($B66:$B79)),G52&gt;600),"",100*$B79/(SUM($B66:$B79)))</f>
      </c>
      <c r="H79" s="485">
        <f>IF(OR((SUM($B66:$B78))=(SUM($B66:$B79)),G52&lt;601),"",100*$B79/(SUM($B66:$B79)))</f>
        <v>50</v>
      </c>
      <c r="I79" s="486"/>
      <c r="J79" s="383"/>
      <c r="K79" s="401"/>
    </row>
    <row r="80" spans="1:11" ht="13.5" thickBot="1">
      <c r="A80" s="356"/>
      <c r="B80" s="487" t="s">
        <v>121</v>
      </c>
      <c r="C80" s="488"/>
      <c r="D80" s="489"/>
      <c r="E80" s="468"/>
      <c r="F80" s="490"/>
      <c r="G80" s="491"/>
      <c r="H80" s="492" t="s">
        <v>137</v>
      </c>
      <c r="I80" s="493">
        <f>MAX((SUM(G66:G78)),(SUM(I66,I78)))</f>
        <v>0</v>
      </c>
      <c r="J80" s="383"/>
      <c r="K80" s="401"/>
    </row>
    <row r="81" spans="1:26" ht="12.75">
      <c r="A81" s="365" t="s">
        <v>100</v>
      </c>
      <c r="B81" s="494"/>
      <c r="C81" s="367" t="s">
        <v>108</v>
      </c>
      <c r="D81" s="494"/>
      <c r="E81" s="495"/>
      <c r="F81" s="496"/>
      <c r="G81" s="497"/>
      <c r="H81" s="498"/>
      <c r="I81" s="499" t="str">
        <f>IF(F56=1,"REVERSED SCALE STATISTICS !"," ")</f>
        <v> </v>
      </c>
      <c r="J81" s="383"/>
      <c r="K81" s="401"/>
      <c r="L81" s="401"/>
      <c r="M81" s="401"/>
      <c r="N81" s="401"/>
      <c r="O81" s="401"/>
      <c r="P81" s="401"/>
      <c r="Q81" s="401"/>
      <c r="R81" s="401"/>
      <c r="S81" s="401"/>
      <c r="T81" s="401"/>
      <c r="U81" s="401"/>
      <c r="V81" s="401"/>
      <c r="W81" s="401"/>
      <c r="X81" s="401"/>
      <c r="Y81" s="401"/>
      <c r="Z81" s="401"/>
    </row>
    <row r="82" spans="1:26" ht="12.75">
      <c r="A82" s="370"/>
      <c r="B82" s="500"/>
      <c r="C82" s="500"/>
      <c r="D82" s="500"/>
      <c r="E82" s="500"/>
      <c r="F82" s="500"/>
      <c r="G82" s="501" t="s">
        <v>8</v>
      </c>
      <c r="H82" s="422"/>
      <c r="I82" s="502" t="s">
        <v>10</v>
      </c>
      <c r="K82" s="401"/>
      <c r="L82" s="401"/>
      <c r="M82" s="401"/>
      <c r="N82" s="401"/>
      <c r="O82" s="401"/>
      <c r="P82" s="401"/>
      <c r="Q82" s="401"/>
      <c r="R82" s="401"/>
      <c r="S82" s="401"/>
      <c r="T82" s="401"/>
      <c r="U82" s="401"/>
      <c r="V82" s="401"/>
      <c r="W82" s="401"/>
      <c r="X82" s="401"/>
      <c r="Y82" s="401"/>
      <c r="Z82" s="401"/>
    </row>
    <row r="83" spans="1:26" ht="13.5" thickBot="1">
      <c r="A83" s="356"/>
      <c r="B83" s="435" t="str">
        <f>IF(AND($G$52=$G$58,SUM($B$101:$B$113)=$G$59)," ","THE  OUTPUT  IS  UNRELIABLE   !!!")</f>
        <v>THE  OUTPUT  IS  UNRELIABLE   !!!</v>
      </c>
      <c r="C83" s="401"/>
      <c r="D83" s="503"/>
      <c r="E83" s="503"/>
      <c r="F83" s="358"/>
      <c r="G83" s="504" t="s">
        <v>9</v>
      </c>
      <c r="H83" s="358"/>
      <c r="I83" s="505" t="s">
        <v>150</v>
      </c>
      <c r="K83" s="401"/>
      <c r="L83" s="401"/>
      <c r="M83" s="401"/>
      <c r="N83" s="401"/>
      <c r="O83" s="401"/>
      <c r="P83" s="401"/>
      <c r="Q83" s="401"/>
      <c r="R83" s="401"/>
      <c r="S83" s="401"/>
      <c r="T83" s="401"/>
      <c r="U83" s="401"/>
      <c r="V83" s="401"/>
      <c r="W83" s="401"/>
      <c r="X83" s="401"/>
      <c r="Y83" s="401"/>
      <c r="Z83" s="401"/>
    </row>
    <row r="84" spans="1:26" ht="13.5" thickTop="1">
      <c r="A84" s="506"/>
      <c r="B84" s="507"/>
      <c r="C84" s="507"/>
      <c r="D84" s="507"/>
      <c r="E84" s="507"/>
      <c r="F84" s="508" t="s">
        <v>11</v>
      </c>
      <c r="G84" s="509">
        <f>IF($G$59=0,"     ",IF(F$56=1,G123,G115))</f>
        <v>2.7653000000000003</v>
      </c>
      <c r="H84" s="371"/>
      <c r="I84" s="510">
        <f>IF($G$59=0,"     ",IF(F$56=1,I123,I115))</f>
        <v>5.884333333333335</v>
      </c>
      <c r="K84" s="401"/>
      <c r="L84" s="401"/>
      <c r="M84" s="401"/>
      <c r="N84" s="401"/>
      <c r="O84" s="401"/>
      <c r="P84" s="401"/>
      <c r="Q84" s="401"/>
      <c r="R84" s="401"/>
      <c r="S84" s="401"/>
      <c r="T84" s="401"/>
      <c r="U84" s="401"/>
      <c r="V84" s="401"/>
      <c r="W84" s="401"/>
      <c r="X84" s="401"/>
      <c r="Y84" s="401"/>
      <c r="Z84" s="401"/>
    </row>
    <row r="85" spans="1:26" ht="12.75">
      <c r="A85" s="506"/>
      <c r="B85" s="507"/>
      <c r="C85" s="507"/>
      <c r="D85" s="507"/>
      <c r="E85" s="507"/>
      <c r="F85" s="511" t="s">
        <v>143</v>
      </c>
      <c r="G85" s="512">
        <f>IF(G59&gt;1,G89/(SQRT(G59)),"")</f>
        <v>0.07895887626742254</v>
      </c>
      <c r="H85" s="513"/>
      <c r="I85" s="514">
        <f>IF(G59&gt;1,I89/(SQRT(G59)),"")</f>
        <v>0.2631962542247418</v>
      </c>
      <c r="K85" s="401"/>
      <c r="L85" s="401"/>
      <c r="M85" s="401"/>
      <c r="N85" s="401"/>
      <c r="O85" s="401"/>
      <c r="P85" s="401"/>
      <c r="Q85" s="401"/>
      <c r="R85" s="401"/>
      <c r="S85" s="401"/>
      <c r="T85" s="401"/>
      <c r="U85" s="401"/>
      <c r="V85" s="401"/>
      <c r="W85" s="401"/>
      <c r="X85" s="401"/>
      <c r="Y85" s="401"/>
      <c r="Z85" s="401"/>
    </row>
    <row r="86" spans="1:26" ht="12.75">
      <c r="A86" s="506"/>
      <c r="B86" s="507"/>
      <c r="C86" s="507"/>
      <c r="D86" s="507"/>
      <c r="E86" s="507"/>
      <c r="F86" s="508" t="s">
        <v>49</v>
      </c>
      <c r="G86" s="509">
        <f>IF($G$59=0,"     ",IF(F$56=1,G124,G116))</f>
        <v>2.609394104900074</v>
      </c>
      <c r="H86" s="371"/>
      <c r="I86" s="510">
        <f>IF($G$59=0,"     ",IF(F$56=1,I124,I116))</f>
        <v>5.36464701633358</v>
      </c>
      <c r="K86" s="401"/>
      <c r="L86" s="401"/>
      <c r="M86" s="401"/>
      <c r="N86" s="401"/>
      <c r="O86" s="401"/>
      <c r="P86" s="401"/>
      <c r="Q86" s="401"/>
      <c r="R86" s="401"/>
      <c r="S86" s="401"/>
      <c r="T86" s="401"/>
      <c r="U86" s="401"/>
      <c r="V86" s="401"/>
      <c r="W86" s="401"/>
      <c r="X86" s="401"/>
      <c r="Y86" s="401"/>
      <c r="Z86" s="401"/>
    </row>
    <row r="87" spans="1:26" ht="12.75">
      <c r="A87" s="506"/>
      <c r="B87" s="507"/>
      <c r="C87" s="507"/>
      <c r="D87" s="507"/>
      <c r="E87" s="507"/>
      <c r="F87" s="508" t="s">
        <v>50</v>
      </c>
      <c r="G87" s="509">
        <f>IF($G$59=0,"     ",IF(F$56=1,G125,G117))</f>
        <v>2.9212058950999267</v>
      </c>
      <c r="H87" s="371"/>
      <c r="I87" s="510">
        <f>IF($G$59=0,"     ",IF(F$56=1,I125,I117))</f>
        <v>6.4040196503330895</v>
      </c>
      <c r="K87" s="401"/>
      <c r="L87" s="401"/>
      <c r="M87" s="401"/>
      <c r="N87" s="401"/>
      <c r="O87" s="401"/>
      <c r="P87" s="401"/>
      <c r="Q87" s="401"/>
      <c r="R87" s="401"/>
      <c r="S87" s="401"/>
      <c r="T87" s="401"/>
      <c r="U87" s="401"/>
      <c r="V87" s="401"/>
      <c r="W87" s="401"/>
      <c r="X87" s="401"/>
      <c r="Y87" s="401"/>
      <c r="Z87" s="401"/>
    </row>
    <row r="88" spans="1:26" ht="12.75">
      <c r="A88" s="506"/>
      <c r="B88" s="507"/>
      <c r="C88" s="507"/>
      <c r="D88" s="507"/>
      <c r="E88" s="507"/>
      <c r="F88" s="508" t="s">
        <v>178</v>
      </c>
      <c r="G88" s="509">
        <f>IF($G$59=0,"     ",G118)</f>
        <v>0.6234504141414142</v>
      </c>
      <c r="H88" s="530">
        <f>H118</f>
        <v>98.99999999999999</v>
      </c>
      <c r="I88" s="510">
        <f>IF($G$59=0,"     ",I118)</f>
        <v>6.92722682379349</v>
      </c>
      <c r="K88" s="401"/>
      <c r="L88" s="401"/>
      <c r="M88" s="401"/>
      <c r="N88" s="401"/>
      <c r="O88" s="401"/>
      <c r="P88" s="401"/>
      <c r="Q88" s="401"/>
      <c r="R88" s="401"/>
      <c r="S88" s="401"/>
      <c r="T88" s="401"/>
      <c r="U88" s="401"/>
      <c r="V88" s="401"/>
      <c r="W88" s="401"/>
      <c r="X88" s="401"/>
      <c r="Y88" s="401"/>
      <c r="Z88" s="401"/>
    </row>
    <row r="89" spans="1:26" ht="13.5" thickBot="1">
      <c r="A89" s="515"/>
      <c r="B89" s="516"/>
      <c r="C89" s="516"/>
      <c r="D89" s="516"/>
      <c r="E89" s="516"/>
      <c r="F89" s="517" t="s">
        <v>46</v>
      </c>
      <c r="G89" s="509">
        <f>IF($G$59=0,"     ",G119)</f>
        <v>0.7895887626742254</v>
      </c>
      <c r="H89" s="518" t="s">
        <v>81</v>
      </c>
      <c r="I89" s="510">
        <f>IF($G$59=0,"     ",I119)</f>
        <v>2.6319625422474178</v>
      </c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</row>
    <row r="90" spans="1:26" ht="12.75">
      <c r="A90" s="519" t="s">
        <v>166</v>
      </c>
      <c r="B90" s="520"/>
      <c r="C90" s="520"/>
      <c r="D90" s="520"/>
      <c r="E90" s="520"/>
      <c r="F90" s="521"/>
      <c r="G90" s="522"/>
      <c r="H90" s="523"/>
      <c r="I90" s="524"/>
      <c r="K90" s="401"/>
      <c r="L90" s="401"/>
      <c r="M90" s="401"/>
      <c r="N90" s="401"/>
      <c r="O90" s="401"/>
      <c r="P90" s="401"/>
      <c r="Q90" s="401"/>
      <c r="R90" s="401"/>
      <c r="S90" s="401"/>
      <c r="T90" s="401"/>
      <c r="U90" s="401"/>
      <c r="V90" s="401"/>
      <c r="W90" s="401"/>
      <c r="X90" s="401"/>
      <c r="Y90" s="401"/>
      <c r="Z90" s="401"/>
    </row>
    <row r="91" spans="1:26" ht="12.75">
      <c r="A91" s="525"/>
      <c r="B91" s="526"/>
      <c r="C91" s="520"/>
      <c r="D91" s="520"/>
      <c r="E91" s="527"/>
      <c r="F91" s="528" t="s">
        <v>147</v>
      </c>
      <c r="G91" s="522"/>
      <c r="H91" s="523"/>
      <c r="I91" s="524"/>
      <c r="K91" s="401"/>
      <c r="L91" s="401"/>
      <c r="M91" s="401"/>
      <c r="N91" s="401"/>
      <c r="O91" s="401"/>
      <c r="P91" s="401"/>
      <c r="Q91" s="401"/>
      <c r="R91" s="401"/>
      <c r="S91" s="401"/>
      <c r="T91" s="401"/>
      <c r="U91" s="401"/>
      <c r="V91" s="401"/>
      <c r="W91" s="401"/>
      <c r="X91" s="401"/>
      <c r="Y91" s="401"/>
      <c r="Z91" s="401"/>
    </row>
    <row r="92" spans="1:26" ht="13.5" thickBot="1">
      <c r="A92" s="525"/>
      <c r="B92" s="526"/>
      <c r="C92" s="520"/>
      <c r="D92" s="520"/>
      <c r="E92" s="520"/>
      <c r="F92" s="521" t="s">
        <v>144</v>
      </c>
      <c r="G92" s="529"/>
      <c r="H92" s="530">
        <f>IF(G$59&gt;99,G$93+2*9.6*I$85,"  ")</f>
        <v>65.4661206055236</v>
      </c>
      <c r="I92" s="524"/>
      <c r="K92" s="401"/>
      <c r="L92" s="401"/>
      <c r="M92" s="401"/>
      <c r="N92" s="401"/>
      <c r="O92" s="401"/>
      <c r="P92" s="401"/>
      <c r="Q92" s="401"/>
      <c r="R92" s="401"/>
      <c r="S92" s="401"/>
      <c r="T92" s="401"/>
      <c r="U92" s="401"/>
      <c r="V92" s="401"/>
      <c r="W92" s="401"/>
      <c r="X92" s="401"/>
      <c r="Y92" s="401"/>
      <c r="Z92" s="401"/>
    </row>
    <row r="93" spans="1:26" ht="16.5" thickBot="1">
      <c r="A93" s="525"/>
      <c r="B93" s="526"/>
      <c r="C93" s="520"/>
      <c r="D93" s="520"/>
      <c r="E93" s="520"/>
      <c r="F93" s="531" t="s">
        <v>159</v>
      </c>
      <c r="G93" s="532">
        <f>IF(G$59&gt;99,9.6*I84-0.014*I89+3.96,"  ")</f>
        <v>60.41275252440855</v>
      </c>
      <c r="H93" s="533"/>
      <c r="I93" s="524"/>
      <c r="K93" s="401"/>
      <c r="L93" s="401"/>
      <c r="M93" s="401"/>
      <c r="N93" s="401"/>
      <c r="O93" s="401"/>
      <c r="P93" s="401"/>
      <c r="Q93" s="401"/>
      <c r="R93" s="401"/>
      <c r="S93" s="401"/>
      <c r="T93" s="401"/>
      <c r="U93" s="401"/>
      <c r="V93" s="401"/>
      <c r="W93" s="401"/>
      <c r="X93" s="401"/>
      <c r="Y93" s="401"/>
      <c r="Z93" s="401"/>
    </row>
    <row r="94" spans="1:26" ht="12.75">
      <c r="A94" s="525"/>
      <c r="B94" s="526"/>
      <c r="C94" s="520"/>
      <c r="D94" s="520"/>
      <c r="E94" s="520"/>
      <c r="F94" s="521" t="s">
        <v>145</v>
      </c>
      <c r="G94" s="529"/>
      <c r="H94" s="530">
        <f>IF(G$59&gt;99,G$93-2*9.6*I$85,"  ")</f>
        <v>55.35938444329351</v>
      </c>
      <c r="I94" s="524"/>
      <c r="K94" s="401"/>
      <c r="L94" s="401"/>
      <c r="M94" s="401"/>
      <c r="N94" s="401"/>
      <c r="O94" s="401"/>
      <c r="P94" s="401"/>
      <c r="Q94" s="401"/>
      <c r="R94" s="401"/>
      <c r="S94" s="401"/>
      <c r="T94" s="401"/>
      <c r="U94" s="401"/>
      <c r="V94" s="401"/>
      <c r="W94" s="401"/>
      <c r="X94" s="401"/>
      <c r="Y94" s="401"/>
      <c r="Z94" s="401"/>
    </row>
    <row r="95" spans="1:26" ht="13.5" thickBot="1">
      <c r="A95" s="525"/>
      <c r="B95" s="520"/>
      <c r="C95" s="520"/>
      <c r="D95" s="520"/>
      <c r="E95" s="520"/>
      <c r="F95" s="521"/>
      <c r="G95" s="522"/>
      <c r="H95" s="523"/>
      <c r="I95" s="524"/>
      <c r="K95" s="401"/>
      <c r="L95" s="401"/>
      <c r="M95" s="401"/>
      <c r="N95" s="401"/>
      <c r="O95" s="401"/>
      <c r="P95" s="401"/>
      <c r="Q95" s="401"/>
      <c r="R95" s="401"/>
      <c r="S95" s="401"/>
      <c r="T95" s="401"/>
      <c r="U95" s="401"/>
      <c r="V95" s="401"/>
      <c r="W95" s="401"/>
      <c r="X95" s="401"/>
      <c r="Y95" s="401"/>
      <c r="Z95" s="401"/>
    </row>
    <row r="96" spans="1:26" ht="13.5" thickBot="1">
      <c r="A96" s="534"/>
      <c r="B96" s="535"/>
      <c r="C96" s="535"/>
      <c r="D96" s="535"/>
      <c r="E96" s="535"/>
      <c r="F96" s="536"/>
      <c r="G96" s="537"/>
      <c r="H96" s="538"/>
      <c r="I96" s="539"/>
      <c r="J96" s="383"/>
      <c r="K96" s="401"/>
      <c r="L96" s="401"/>
      <c r="M96" s="401"/>
      <c r="N96" s="401"/>
      <c r="O96" s="401"/>
      <c r="P96" s="401"/>
      <c r="Q96" s="401"/>
      <c r="R96" s="401"/>
      <c r="S96" s="401"/>
      <c r="T96" s="401"/>
      <c r="U96" s="401"/>
      <c r="V96" s="401"/>
      <c r="W96" s="401"/>
      <c r="X96" s="401"/>
      <c r="Y96" s="401"/>
      <c r="Z96" s="401"/>
    </row>
    <row r="97" spans="1:68" ht="13.5" thickBot="1">
      <c r="A97" s="377" t="s">
        <v>27</v>
      </c>
      <c r="B97" s="435"/>
      <c r="C97" s="385"/>
      <c r="D97" s="385"/>
      <c r="E97" s="385"/>
      <c r="F97" s="385"/>
      <c r="G97" s="381"/>
      <c r="H97" s="381"/>
      <c r="I97" s="382"/>
      <c r="J97" s="401"/>
      <c r="K97" s="401"/>
      <c r="L97" s="401"/>
      <c r="M97" s="401"/>
      <c r="N97" s="401"/>
      <c r="O97" s="401"/>
      <c r="P97" s="401"/>
      <c r="Q97" s="401"/>
      <c r="R97" s="401"/>
      <c r="S97" s="401"/>
      <c r="T97" s="401"/>
      <c r="U97" s="401"/>
      <c r="V97" s="401"/>
      <c r="W97" s="401"/>
      <c r="X97" s="401"/>
      <c r="Y97" s="401"/>
      <c r="Z97" s="401"/>
      <c r="AA97" s="401"/>
      <c r="AB97" s="401"/>
      <c r="AC97" s="401"/>
      <c r="AD97" s="401"/>
      <c r="AE97" s="401"/>
      <c r="AF97" s="401"/>
      <c r="AG97" s="401"/>
      <c r="AH97" s="401"/>
      <c r="AI97" s="401"/>
      <c r="AJ97" s="401"/>
      <c r="AK97" s="401"/>
      <c r="AL97" s="401"/>
      <c r="AM97" s="401"/>
      <c r="AN97" s="401"/>
      <c r="AO97" s="401"/>
      <c r="AP97" s="401"/>
      <c r="AQ97" s="401"/>
      <c r="AR97" s="401"/>
      <c r="AS97" s="401"/>
      <c r="AT97" s="401"/>
      <c r="AU97" s="401"/>
      <c r="AV97" s="401"/>
      <c r="AW97" s="401"/>
      <c r="AX97" s="401"/>
      <c r="AY97" s="401"/>
      <c r="AZ97" s="401"/>
      <c r="BA97" s="401"/>
      <c r="BB97" s="401"/>
      <c r="BC97" s="401"/>
      <c r="BD97" s="401"/>
      <c r="BE97" s="401"/>
      <c r="BF97" s="401"/>
      <c r="BG97" s="401"/>
      <c r="BH97" s="401"/>
      <c r="BI97" s="401"/>
      <c r="BJ97" s="401"/>
      <c r="BK97" s="401"/>
      <c r="BL97" s="401"/>
      <c r="BM97" s="401"/>
      <c r="BN97" s="401"/>
      <c r="BO97" s="401"/>
      <c r="BP97" s="401"/>
    </row>
    <row r="98" spans="1:68" ht="14.25" customHeight="1" thickBot="1">
      <c r="A98" s="356"/>
      <c r="B98" s="378"/>
      <c r="C98" s="540"/>
      <c r="D98" s="541"/>
      <c r="E98" s="542" t="s">
        <v>15</v>
      </c>
      <c r="F98" s="543"/>
      <c r="G98" s="544" t="s">
        <v>16</v>
      </c>
      <c r="H98" s="545"/>
      <c r="I98" s="546"/>
      <c r="J98" s="401"/>
      <c r="K98" s="401"/>
      <c r="L98" s="401"/>
      <c r="M98" s="401"/>
      <c r="N98" s="401"/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1"/>
      <c r="Z98" s="401"/>
      <c r="AA98" s="401"/>
      <c r="AB98" s="401"/>
      <c r="AC98" s="401"/>
      <c r="AD98" s="401"/>
      <c r="AE98" s="401"/>
      <c r="AF98" s="401"/>
      <c r="AG98" s="401"/>
      <c r="AH98" s="401"/>
      <c r="AI98" s="401"/>
      <c r="AJ98" s="401"/>
      <c r="AK98" s="401"/>
      <c r="AL98" s="401"/>
      <c r="AM98" s="401"/>
      <c r="AN98" s="401"/>
      <c r="AO98" s="401"/>
      <c r="AP98" s="401"/>
      <c r="AQ98" s="401"/>
      <c r="AR98" s="401"/>
      <c r="AS98" s="401"/>
      <c r="AT98" s="401"/>
      <c r="AU98" s="401"/>
      <c r="AV98" s="401"/>
      <c r="AW98" s="401"/>
      <c r="AX98" s="401"/>
      <c r="AY98" s="401"/>
      <c r="AZ98" s="401"/>
      <c r="BA98" s="401"/>
      <c r="BB98" s="401"/>
      <c r="BC98" s="401"/>
      <c r="BD98" s="401"/>
      <c r="BE98" s="401"/>
      <c r="BF98" s="401"/>
      <c r="BG98" s="401"/>
      <c r="BH98" s="401"/>
      <c r="BI98" s="401"/>
      <c r="BJ98" s="401"/>
      <c r="BK98" s="401"/>
      <c r="BL98" s="401"/>
      <c r="BM98" s="401"/>
      <c r="BN98" s="401"/>
      <c r="BO98" s="401"/>
      <c r="BP98" s="401"/>
    </row>
    <row r="99" spans="1:68" ht="13.5">
      <c r="A99" s="356"/>
      <c r="B99" s="547" t="s">
        <v>33</v>
      </c>
      <c r="C99" s="548" t="s">
        <v>44</v>
      </c>
      <c r="D99" s="549"/>
      <c r="E99" s="550" t="s">
        <v>79</v>
      </c>
      <c r="F99" s="551" t="s">
        <v>54</v>
      </c>
      <c r="G99" s="550" t="s">
        <v>55</v>
      </c>
      <c r="H99" s="552" t="s">
        <v>54</v>
      </c>
      <c r="I99" s="546"/>
      <c r="J99" s="401"/>
      <c r="K99" s="401"/>
      <c r="L99" s="401"/>
      <c r="M99" s="401"/>
      <c r="N99" s="401"/>
      <c r="O99" s="401"/>
      <c r="P99" s="401"/>
      <c r="Q99" s="401"/>
      <c r="R99" s="401"/>
      <c r="S99" s="401"/>
      <c r="T99" s="401"/>
      <c r="U99" s="401"/>
      <c r="V99" s="401"/>
      <c r="W99" s="401"/>
      <c r="X99" s="401"/>
      <c r="Y99" s="401"/>
      <c r="Z99" s="401"/>
      <c r="AA99" s="401"/>
      <c r="AB99" s="401"/>
      <c r="AC99" s="401"/>
      <c r="AD99" s="401"/>
      <c r="AE99" s="401"/>
      <c r="AF99" s="401"/>
      <c r="AG99" s="401"/>
      <c r="AH99" s="401"/>
      <c r="AI99" s="401"/>
      <c r="AJ99" s="401"/>
      <c r="AK99" s="401"/>
      <c r="AL99" s="401"/>
      <c r="AM99" s="401"/>
      <c r="AN99" s="401"/>
      <c r="AO99" s="401"/>
      <c r="AP99" s="401"/>
      <c r="AQ99" s="401"/>
      <c r="AR99" s="401"/>
      <c r="AS99" s="401"/>
      <c r="AT99" s="401"/>
      <c r="AU99" s="401"/>
      <c r="AV99" s="401"/>
      <c r="AW99" s="401"/>
      <c r="AX99" s="401"/>
      <c r="AY99" s="401"/>
      <c r="AZ99" s="401"/>
      <c r="BA99" s="401"/>
      <c r="BB99" s="401"/>
      <c r="BC99" s="401"/>
      <c r="BD99" s="401"/>
      <c r="BE99" s="401"/>
      <c r="BF99" s="401"/>
      <c r="BG99" s="401"/>
      <c r="BH99" s="401"/>
      <c r="BI99" s="401"/>
      <c r="BJ99" s="401"/>
      <c r="BK99" s="401"/>
      <c r="BL99" s="401"/>
      <c r="BM99" s="401"/>
      <c r="BN99" s="401"/>
      <c r="BO99" s="401"/>
      <c r="BP99" s="401"/>
    </row>
    <row r="100" spans="1:68" ht="13.5" thickBot="1">
      <c r="A100" s="356"/>
      <c r="B100" s="450" t="s">
        <v>34</v>
      </c>
      <c r="C100" s="553" t="s">
        <v>0</v>
      </c>
      <c r="D100" s="553" t="s">
        <v>36</v>
      </c>
      <c r="E100" s="554">
        <f>SUM(E101:E113)</f>
        <v>276.53</v>
      </c>
      <c r="F100" s="555">
        <f>IF(G$59=0,"   ",+SUM(F101:F113))</f>
        <v>61.721591</v>
      </c>
      <c r="G100" s="556">
        <f>SUM(G101:G113)</f>
        <v>588.4333333333334</v>
      </c>
      <c r="H100" s="557">
        <f>IF(G$59=0,"   ",+SUM(H101:H113))</f>
        <v>685.7954555555555</v>
      </c>
      <c r="I100" s="546"/>
      <c r="J100" s="401"/>
      <c r="K100" s="401"/>
      <c r="L100" s="401"/>
      <c r="M100" s="401"/>
      <c r="N100" s="401"/>
      <c r="O100" s="401"/>
      <c r="P100" s="401"/>
      <c r="Q100" s="401"/>
      <c r="R100" s="401"/>
      <c r="S100" s="401"/>
      <c r="T100" s="401"/>
      <c r="U100" s="401"/>
      <c r="V100" s="401"/>
      <c r="W100" s="401"/>
      <c r="X100" s="401"/>
      <c r="Y100" s="401"/>
      <c r="Z100" s="401"/>
      <c r="AA100" s="401"/>
      <c r="AB100" s="401"/>
      <c r="AC100" s="401"/>
      <c r="AD100" s="401"/>
      <c r="AE100" s="401"/>
      <c r="AF100" s="401"/>
      <c r="AG100" s="401"/>
      <c r="AH100" s="401"/>
      <c r="AI100" s="401"/>
      <c r="AJ100" s="401"/>
      <c r="AK100" s="401"/>
      <c r="AL100" s="401"/>
      <c r="AM100" s="401"/>
      <c r="AN100" s="401"/>
      <c r="AO100" s="401"/>
      <c r="AP100" s="401"/>
      <c r="AQ100" s="401"/>
      <c r="AR100" s="401"/>
      <c r="AS100" s="401"/>
      <c r="AT100" s="401"/>
      <c r="AU100" s="401"/>
      <c r="AV100" s="401"/>
      <c r="AW100" s="401"/>
      <c r="AX100" s="401"/>
      <c r="AY100" s="401"/>
      <c r="AZ100" s="401"/>
      <c r="BA100" s="401"/>
      <c r="BB100" s="401"/>
      <c r="BC100" s="401"/>
      <c r="BD100" s="401"/>
      <c r="BE100" s="401"/>
      <c r="BF100" s="401"/>
      <c r="BG100" s="401"/>
      <c r="BH100" s="401"/>
      <c r="BI100" s="401"/>
      <c r="BJ100" s="401"/>
      <c r="BK100" s="401"/>
      <c r="BL100" s="401"/>
      <c r="BM100" s="401"/>
      <c r="BN100" s="401"/>
      <c r="BO100" s="401"/>
      <c r="BP100" s="401"/>
    </row>
    <row r="101" spans="1:68" ht="12.75">
      <c r="A101" s="558" t="str">
        <f aca="true" t="shared" si="5" ref="A101:A113">IF(OR($C101&lt;$C$55,$C101&gt;$F$55)," ",B101)</f>
        <v> </v>
      </c>
      <c r="B101" s="559">
        <f aca="true" t="shared" si="6" ref="B101:C113">B66</f>
        <v>0</v>
      </c>
      <c r="C101" s="496">
        <f t="shared" si="6"/>
        <v>12</v>
      </c>
      <c r="D101" s="560" t="str">
        <f>IF(OR($C101&lt;$C$55,$C101&gt;$F$55)," ",10*(C101-C$55)/(F$55-C$55))</f>
        <v> </v>
      </c>
      <c r="E101" s="561" t="str">
        <f aca="true" t="shared" si="7" ref="E101:E108">IF(OR($C101&lt;$C$55,$C101&gt;$F$55)," ",B101*C101)</f>
        <v> </v>
      </c>
      <c r="F101" s="468" t="str">
        <f aca="true" t="shared" si="8" ref="F101:F108">IF(OR($C101&lt;$C$55,$C101&gt;$F$55)," ",$B101*(C101-G$115)*(C101-G$115))</f>
        <v> </v>
      </c>
      <c r="G101" s="468" t="str">
        <f aca="true" t="shared" si="9" ref="G101:G108">IF(OR($C101&lt;$C$55,$C101&gt;$F$55)," ",B101*D101)</f>
        <v> </v>
      </c>
      <c r="H101" s="562" t="str">
        <f aca="true" t="shared" si="10" ref="H101:H108">IF(OR($C101&lt;$C$55,$C101&gt;$F$55)," ",$B101*(D101-I$115)*(D101-I$115))</f>
        <v> </v>
      </c>
      <c r="I101" s="546"/>
      <c r="J101" s="401"/>
      <c r="K101" s="401"/>
      <c r="L101" s="401"/>
      <c r="M101" s="401"/>
      <c r="N101" s="401"/>
      <c r="O101" s="401"/>
      <c r="P101" s="401"/>
      <c r="Q101" s="401"/>
      <c r="R101" s="401"/>
      <c r="S101" s="401"/>
      <c r="T101" s="401"/>
      <c r="U101" s="401"/>
      <c r="V101" s="401"/>
      <c r="W101" s="401"/>
      <c r="X101" s="401"/>
      <c r="Y101" s="401"/>
      <c r="Z101" s="401"/>
      <c r="AA101" s="401"/>
      <c r="AB101" s="401"/>
      <c r="AC101" s="401"/>
      <c r="AD101" s="401"/>
      <c r="AE101" s="401"/>
      <c r="AF101" s="401"/>
      <c r="AG101" s="401"/>
      <c r="AH101" s="401"/>
      <c r="AI101" s="401"/>
      <c r="AJ101" s="401"/>
      <c r="AK101" s="401"/>
      <c r="AL101" s="401"/>
      <c r="AM101" s="401"/>
      <c r="AN101" s="401"/>
      <c r="AO101" s="401"/>
      <c r="AP101" s="401"/>
      <c r="AQ101" s="401"/>
      <c r="AR101" s="401"/>
      <c r="AS101" s="401"/>
      <c r="AT101" s="401"/>
      <c r="AU101" s="401"/>
      <c r="AV101" s="401"/>
      <c r="AW101" s="401"/>
      <c r="AX101" s="401"/>
      <c r="AY101" s="401"/>
      <c r="AZ101" s="401"/>
      <c r="BA101" s="401"/>
      <c r="BB101" s="401"/>
      <c r="BC101" s="401"/>
      <c r="BD101" s="401"/>
      <c r="BE101" s="401"/>
      <c r="BF101" s="401"/>
      <c r="BG101" s="401"/>
      <c r="BH101" s="401"/>
      <c r="BI101" s="401"/>
      <c r="BJ101" s="401"/>
      <c r="BK101" s="401"/>
      <c r="BL101" s="401"/>
      <c r="BM101" s="401"/>
      <c r="BN101" s="401"/>
      <c r="BO101" s="401"/>
      <c r="BP101" s="401"/>
    </row>
    <row r="102" spans="1:68" ht="12.75">
      <c r="A102" s="558" t="str">
        <f t="shared" si="5"/>
        <v> </v>
      </c>
      <c r="B102" s="563">
        <f t="shared" si="6"/>
        <v>0</v>
      </c>
      <c r="C102" s="371">
        <f t="shared" si="6"/>
        <v>11</v>
      </c>
      <c r="D102" s="468" t="str">
        <f aca="true" t="shared" si="11" ref="D102:D113">IF(OR(C102&lt;C$55,C102&gt;F$55)," ",10*(C102-C$55)/(F$55-C$55))</f>
        <v> </v>
      </c>
      <c r="E102" s="561" t="str">
        <f t="shared" si="7"/>
        <v> </v>
      </c>
      <c r="F102" s="468" t="str">
        <f t="shared" si="8"/>
        <v> </v>
      </c>
      <c r="G102" s="468" t="str">
        <f t="shared" si="9"/>
        <v> </v>
      </c>
      <c r="H102" s="562" t="str">
        <f t="shared" si="10"/>
        <v> </v>
      </c>
      <c r="I102" s="546"/>
      <c r="J102" s="401"/>
      <c r="K102" s="401"/>
      <c r="L102" s="401"/>
      <c r="M102" s="401"/>
      <c r="N102" s="401"/>
      <c r="O102" s="401"/>
      <c r="P102" s="401"/>
      <c r="Q102" s="401"/>
      <c r="R102" s="401"/>
      <c r="S102" s="401"/>
      <c r="T102" s="401"/>
      <c r="U102" s="401"/>
      <c r="V102" s="401"/>
      <c r="W102" s="401"/>
      <c r="X102" s="401"/>
      <c r="Y102" s="401"/>
      <c r="Z102" s="401"/>
      <c r="AA102" s="401"/>
      <c r="AB102" s="401"/>
      <c r="AC102" s="401"/>
      <c r="AD102" s="401"/>
      <c r="AE102" s="401"/>
      <c r="AF102" s="401"/>
      <c r="AG102" s="401"/>
      <c r="AH102" s="401"/>
      <c r="AI102" s="401"/>
      <c r="AJ102" s="401"/>
      <c r="AK102" s="401"/>
      <c r="AL102" s="401"/>
      <c r="AM102" s="401"/>
      <c r="AN102" s="401"/>
      <c r="AO102" s="401"/>
      <c r="AP102" s="401"/>
      <c r="AQ102" s="401"/>
      <c r="AR102" s="401"/>
      <c r="AS102" s="401"/>
      <c r="AT102" s="401"/>
      <c r="AU102" s="401"/>
      <c r="AV102" s="401"/>
      <c r="AW102" s="401"/>
      <c r="AX102" s="401"/>
      <c r="AY102" s="401"/>
      <c r="AZ102" s="401"/>
      <c r="BA102" s="401"/>
      <c r="BB102" s="401"/>
      <c r="BC102" s="401"/>
      <c r="BD102" s="401"/>
      <c r="BE102" s="401"/>
      <c r="BF102" s="401"/>
      <c r="BG102" s="401"/>
      <c r="BH102" s="401"/>
      <c r="BI102" s="401"/>
      <c r="BJ102" s="401"/>
      <c r="BK102" s="401"/>
      <c r="BL102" s="401"/>
      <c r="BM102" s="401"/>
      <c r="BN102" s="401"/>
      <c r="BO102" s="401"/>
      <c r="BP102" s="401"/>
    </row>
    <row r="103" spans="1:68" ht="12.75">
      <c r="A103" s="558" t="str">
        <f t="shared" si="5"/>
        <v> </v>
      </c>
      <c r="B103" s="563">
        <f t="shared" si="6"/>
        <v>0</v>
      </c>
      <c r="C103" s="371">
        <f t="shared" si="6"/>
        <v>10</v>
      </c>
      <c r="D103" s="468" t="str">
        <f t="shared" si="11"/>
        <v> </v>
      </c>
      <c r="E103" s="561" t="str">
        <f t="shared" si="7"/>
        <v> </v>
      </c>
      <c r="F103" s="468" t="str">
        <f t="shared" si="8"/>
        <v> </v>
      </c>
      <c r="G103" s="468" t="str">
        <f t="shared" si="9"/>
        <v> </v>
      </c>
      <c r="H103" s="562" t="str">
        <f t="shared" si="10"/>
        <v> </v>
      </c>
      <c r="I103" s="546"/>
      <c r="J103" s="401"/>
      <c r="K103" s="401"/>
      <c r="L103" s="401"/>
      <c r="M103" s="401"/>
      <c r="N103" s="401"/>
      <c r="O103" s="401"/>
      <c r="P103" s="401"/>
      <c r="Q103" s="401"/>
      <c r="R103" s="401"/>
      <c r="S103" s="401"/>
      <c r="T103" s="401"/>
      <c r="U103" s="401"/>
      <c r="V103" s="401"/>
      <c r="W103" s="401"/>
      <c r="X103" s="401"/>
      <c r="Y103" s="401"/>
      <c r="Z103" s="401"/>
      <c r="AA103" s="401"/>
      <c r="AB103" s="401"/>
      <c r="AC103" s="401"/>
      <c r="AD103" s="401"/>
      <c r="AE103" s="401"/>
      <c r="AF103" s="401"/>
      <c r="AG103" s="401"/>
      <c r="AH103" s="401"/>
      <c r="AI103" s="401"/>
      <c r="AJ103" s="401"/>
      <c r="AK103" s="401"/>
      <c r="AL103" s="401"/>
      <c r="AM103" s="401"/>
      <c r="AN103" s="401"/>
      <c r="AO103" s="401"/>
      <c r="AP103" s="401"/>
      <c r="AQ103" s="401"/>
      <c r="AR103" s="401"/>
      <c r="AS103" s="401"/>
      <c r="AT103" s="401"/>
      <c r="AU103" s="401"/>
      <c r="AV103" s="401"/>
      <c r="AW103" s="401"/>
      <c r="AX103" s="401"/>
      <c r="AY103" s="401"/>
      <c r="AZ103" s="401"/>
      <c r="BA103" s="401"/>
      <c r="BB103" s="401"/>
      <c r="BC103" s="401"/>
      <c r="BD103" s="401"/>
      <c r="BE103" s="401"/>
      <c r="BF103" s="401"/>
      <c r="BG103" s="401"/>
      <c r="BH103" s="401"/>
      <c r="BI103" s="401"/>
      <c r="BJ103" s="401"/>
      <c r="BK103" s="401"/>
      <c r="BL103" s="401"/>
      <c r="BM103" s="401"/>
      <c r="BN103" s="401"/>
      <c r="BO103" s="401"/>
      <c r="BP103" s="401"/>
    </row>
    <row r="104" spans="1:68" ht="12.75">
      <c r="A104" s="558" t="str">
        <f t="shared" si="5"/>
        <v> </v>
      </c>
      <c r="B104" s="563">
        <f t="shared" si="6"/>
        <v>0</v>
      </c>
      <c r="C104" s="371">
        <f t="shared" si="6"/>
        <v>9</v>
      </c>
      <c r="D104" s="468" t="str">
        <f t="shared" si="11"/>
        <v> </v>
      </c>
      <c r="E104" s="561" t="str">
        <f t="shared" si="7"/>
        <v> </v>
      </c>
      <c r="F104" s="468" t="str">
        <f t="shared" si="8"/>
        <v> </v>
      </c>
      <c r="G104" s="468" t="str">
        <f t="shared" si="9"/>
        <v> </v>
      </c>
      <c r="H104" s="562" t="str">
        <f t="shared" si="10"/>
        <v> </v>
      </c>
      <c r="I104" s="546"/>
      <c r="J104" s="401"/>
      <c r="K104" s="401"/>
      <c r="L104" s="401"/>
      <c r="M104" s="401"/>
      <c r="N104" s="401"/>
      <c r="O104" s="401"/>
      <c r="P104" s="401"/>
      <c r="Q104" s="401"/>
      <c r="R104" s="401"/>
      <c r="S104" s="401"/>
      <c r="T104" s="401"/>
      <c r="U104" s="401"/>
      <c r="V104" s="401"/>
      <c r="W104" s="401"/>
      <c r="X104" s="401"/>
      <c r="Y104" s="401"/>
      <c r="Z104" s="401"/>
      <c r="AA104" s="401"/>
      <c r="AB104" s="401"/>
      <c r="AC104" s="401"/>
      <c r="AD104" s="401"/>
      <c r="AE104" s="401"/>
      <c r="AF104" s="401"/>
      <c r="AG104" s="401"/>
      <c r="AH104" s="401"/>
      <c r="AI104" s="401"/>
      <c r="AJ104" s="401"/>
      <c r="AK104" s="401"/>
      <c r="AL104" s="401"/>
      <c r="AM104" s="401"/>
      <c r="AN104" s="401"/>
      <c r="AO104" s="401"/>
      <c r="AP104" s="401"/>
      <c r="AQ104" s="401"/>
      <c r="AR104" s="401"/>
      <c r="AS104" s="401"/>
      <c r="AT104" s="401"/>
      <c r="AU104" s="401"/>
      <c r="AV104" s="401"/>
      <c r="AW104" s="401"/>
      <c r="AX104" s="401"/>
      <c r="AY104" s="401"/>
      <c r="AZ104" s="401"/>
      <c r="BA104" s="401"/>
      <c r="BB104" s="401"/>
      <c r="BC104" s="401"/>
      <c r="BD104" s="401"/>
      <c r="BE104" s="401"/>
      <c r="BF104" s="401"/>
      <c r="BG104" s="401"/>
      <c r="BH104" s="401"/>
      <c r="BI104" s="401"/>
      <c r="BJ104" s="401"/>
      <c r="BK104" s="401"/>
      <c r="BL104" s="401"/>
      <c r="BM104" s="401"/>
      <c r="BN104" s="401"/>
      <c r="BO104" s="401"/>
      <c r="BP104" s="401"/>
    </row>
    <row r="105" spans="1:68" ht="12.75">
      <c r="A105" s="558" t="str">
        <f t="shared" si="5"/>
        <v> </v>
      </c>
      <c r="B105" s="563">
        <f t="shared" si="6"/>
        <v>0</v>
      </c>
      <c r="C105" s="371">
        <f t="shared" si="6"/>
        <v>8</v>
      </c>
      <c r="D105" s="468" t="str">
        <f t="shared" si="11"/>
        <v> </v>
      </c>
      <c r="E105" s="561" t="str">
        <f t="shared" si="7"/>
        <v> </v>
      </c>
      <c r="F105" s="468" t="str">
        <f t="shared" si="8"/>
        <v> </v>
      </c>
      <c r="G105" s="468" t="str">
        <f t="shared" si="9"/>
        <v> </v>
      </c>
      <c r="H105" s="562" t="str">
        <f t="shared" si="10"/>
        <v> </v>
      </c>
      <c r="I105" s="546"/>
      <c r="J105" s="401"/>
      <c r="K105" s="401"/>
      <c r="L105" s="401"/>
      <c r="M105" s="401"/>
      <c r="N105" s="401"/>
      <c r="O105" s="401"/>
      <c r="P105" s="401"/>
      <c r="Q105" s="401"/>
      <c r="R105" s="401"/>
      <c r="S105" s="401"/>
      <c r="T105" s="401"/>
      <c r="U105" s="401"/>
      <c r="V105" s="401"/>
      <c r="W105" s="401"/>
      <c r="X105" s="401"/>
      <c r="Y105" s="401"/>
      <c r="Z105" s="401"/>
      <c r="AA105" s="401"/>
      <c r="AB105" s="401"/>
      <c r="AC105" s="401"/>
      <c r="AD105" s="401"/>
      <c r="AE105" s="401"/>
      <c r="AF105" s="401"/>
      <c r="AG105" s="401"/>
      <c r="AH105" s="401"/>
      <c r="AI105" s="401"/>
      <c r="AJ105" s="401"/>
      <c r="AK105" s="401"/>
      <c r="AL105" s="401"/>
      <c r="AM105" s="401"/>
      <c r="AN105" s="401"/>
      <c r="AO105" s="401"/>
      <c r="AP105" s="401"/>
      <c r="AQ105" s="401"/>
      <c r="AR105" s="401"/>
      <c r="AS105" s="401"/>
      <c r="AT105" s="401"/>
      <c r="AU105" s="401"/>
      <c r="AV105" s="401"/>
      <c r="AW105" s="401"/>
      <c r="AX105" s="401"/>
      <c r="AY105" s="401"/>
      <c r="AZ105" s="401"/>
      <c r="BA105" s="401"/>
      <c r="BB105" s="401"/>
      <c r="BC105" s="401"/>
      <c r="BD105" s="401"/>
      <c r="BE105" s="401"/>
      <c r="BF105" s="401"/>
      <c r="BG105" s="401"/>
      <c r="BH105" s="401"/>
      <c r="BI105" s="401"/>
      <c r="BJ105" s="401"/>
      <c r="BK105" s="401"/>
      <c r="BL105" s="401"/>
      <c r="BM105" s="401"/>
      <c r="BN105" s="401"/>
      <c r="BO105" s="401"/>
      <c r="BP105" s="401"/>
    </row>
    <row r="106" spans="1:68" ht="12.75">
      <c r="A106" s="558" t="str">
        <f t="shared" si="5"/>
        <v> </v>
      </c>
      <c r="B106" s="563">
        <f t="shared" si="6"/>
        <v>0</v>
      </c>
      <c r="C106" s="371">
        <f t="shared" si="6"/>
        <v>7</v>
      </c>
      <c r="D106" s="468" t="str">
        <f t="shared" si="11"/>
        <v> </v>
      </c>
      <c r="E106" s="561" t="str">
        <f t="shared" si="7"/>
        <v> </v>
      </c>
      <c r="F106" s="468" t="str">
        <f t="shared" si="8"/>
        <v> </v>
      </c>
      <c r="G106" s="468" t="str">
        <f t="shared" si="9"/>
        <v> </v>
      </c>
      <c r="H106" s="562" t="str">
        <f t="shared" si="10"/>
        <v> </v>
      </c>
      <c r="I106" s="546"/>
      <c r="J106" s="401"/>
      <c r="K106" s="401"/>
      <c r="L106" s="401"/>
      <c r="M106" s="401"/>
      <c r="N106" s="401"/>
      <c r="O106" s="401"/>
      <c r="P106" s="401"/>
      <c r="Q106" s="401"/>
      <c r="R106" s="401"/>
      <c r="S106" s="401"/>
      <c r="T106" s="401"/>
      <c r="U106" s="401"/>
      <c r="V106" s="401"/>
      <c r="W106" s="401"/>
      <c r="X106" s="401"/>
      <c r="Y106" s="401"/>
      <c r="Z106" s="401"/>
      <c r="AA106" s="401"/>
      <c r="AB106" s="401"/>
      <c r="AC106" s="401"/>
      <c r="AD106" s="401"/>
      <c r="AE106" s="401"/>
      <c r="AF106" s="401"/>
      <c r="AG106" s="401"/>
      <c r="AH106" s="401"/>
      <c r="AI106" s="401"/>
      <c r="AJ106" s="401"/>
      <c r="AK106" s="401"/>
      <c r="AL106" s="401"/>
      <c r="AM106" s="401"/>
      <c r="AN106" s="401"/>
      <c r="AO106" s="401"/>
      <c r="AP106" s="401"/>
      <c r="AQ106" s="401"/>
      <c r="AR106" s="401"/>
      <c r="AS106" s="401"/>
      <c r="AT106" s="401"/>
      <c r="AU106" s="401"/>
      <c r="AV106" s="401"/>
      <c r="AW106" s="401"/>
      <c r="AX106" s="401"/>
      <c r="AY106" s="401"/>
      <c r="AZ106" s="401"/>
      <c r="BA106" s="401"/>
      <c r="BB106" s="401"/>
      <c r="BC106" s="401"/>
      <c r="BD106" s="401"/>
      <c r="BE106" s="401"/>
      <c r="BF106" s="401"/>
      <c r="BG106" s="401"/>
      <c r="BH106" s="401"/>
      <c r="BI106" s="401"/>
      <c r="BJ106" s="401"/>
      <c r="BK106" s="401"/>
      <c r="BL106" s="401"/>
      <c r="BM106" s="401"/>
      <c r="BN106" s="401"/>
      <c r="BO106" s="401"/>
      <c r="BP106" s="401"/>
    </row>
    <row r="107" spans="1:68" ht="12.75">
      <c r="A107" s="558" t="str">
        <f t="shared" si="5"/>
        <v> </v>
      </c>
      <c r="B107" s="563">
        <f t="shared" si="6"/>
        <v>0</v>
      </c>
      <c r="C107" s="371">
        <f t="shared" si="6"/>
        <v>6</v>
      </c>
      <c r="D107" s="468" t="str">
        <f t="shared" si="11"/>
        <v> </v>
      </c>
      <c r="E107" s="561" t="str">
        <f t="shared" si="7"/>
        <v> </v>
      </c>
      <c r="F107" s="468" t="str">
        <f t="shared" si="8"/>
        <v> </v>
      </c>
      <c r="G107" s="468" t="str">
        <f t="shared" si="9"/>
        <v> </v>
      </c>
      <c r="H107" s="562" t="str">
        <f t="shared" si="10"/>
        <v> </v>
      </c>
      <c r="I107" s="546"/>
      <c r="J107" s="401"/>
      <c r="K107" s="401"/>
      <c r="L107" s="401"/>
      <c r="M107" s="401"/>
      <c r="N107" s="401"/>
      <c r="O107" s="401"/>
      <c r="P107" s="401"/>
      <c r="Q107" s="401"/>
      <c r="R107" s="401"/>
      <c r="S107" s="401"/>
      <c r="T107" s="401"/>
      <c r="U107" s="401"/>
      <c r="V107" s="401"/>
      <c r="W107" s="401"/>
      <c r="X107" s="401"/>
      <c r="Y107" s="401"/>
      <c r="Z107" s="401"/>
      <c r="AA107" s="401"/>
      <c r="AB107" s="401"/>
      <c r="AC107" s="401"/>
      <c r="AD107" s="401"/>
      <c r="AE107" s="401"/>
      <c r="AF107" s="401"/>
      <c r="AG107" s="401"/>
      <c r="AH107" s="401"/>
      <c r="AI107" s="401"/>
      <c r="AJ107" s="401"/>
      <c r="AK107" s="401"/>
      <c r="AL107" s="401"/>
      <c r="AM107" s="401"/>
      <c r="AN107" s="401"/>
      <c r="AO107" s="401"/>
      <c r="AP107" s="401"/>
      <c r="AQ107" s="401"/>
      <c r="AR107" s="401"/>
      <c r="AS107" s="401"/>
      <c r="AT107" s="401"/>
      <c r="AU107" s="401"/>
      <c r="AV107" s="401"/>
      <c r="AW107" s="401"/>
      <c r="AX107" s="401"/>
      <c r="AY107" s="401"/>
      <c r="AZ107" s="401"/>
      <c r="BA107" s="401"/>
      <c r="BB107" s="401"/>
      <c r="BC107" s="401"/>
      <c r="BD107" s="401"/>
      <c r="BE107" s="401"/>
      <c r="BF107" s="401"/>
      <c r="BG107" s="401"/>
      <c r="BH107" s="401"/>
      <c r="BI107" s="401"/>
      <c r="BJ107" s="401"/>
      <c r="BK107" s="401"/>
      <c r="BL107" s="401"/>
      <c r="BM107" s="401"/>
      <c r="BN107" s="401"/>
      <c r="BO107" s="401"/>
      <c r="BP107" s="401"/>
    </row>
    <row r="108" spans="1:68" ht="12.75">
      <c r="A108" s="558" t="str">
        <f t="shared" si="5"/>
        <v> </v>
      </c>
      <c r="B108" s="563">
        <f t="shared" si="6"/>
        <v>0</v>
      </c>
      <c r="C108" s="371">
        <f t="shared" si="6"/>
        <v>5</v>
      </c>
      <c r="D108" s="468" t="str">
        <f t="shared" si="11"/>
        <v> </v>
      </c>
      <c r="E108" s="561" t="str">
        <f t="shared" si="7"/>
        <v> </v>
      </c>
      <c r="F108" s="468" t="str">
        <f t="shared" si="8"/>
        <v> </v>
      </c>
      <c r="G108" s="468" t="str">
        <f t="shared" si="9"/>
        <v> </v>
      </c>
      <c r="H108" s="562" t="str">
        <f t="shared" si="10"/>
        <v> </v>
      </c>
      <c r="I108" s="546"/>
      <c r="J108" s="401"/>
      <c r="K108" s="401"/>
      <c r="L108" s="401"/>
      <c r="M108" s="401"/>
      <c r="N108" s="401"/>
      <c r="O108" s="401"/>
      <c r="P108" s="401"/>
      <c r="Q108" s="401"/>
      <c r="R108" s="401"/>
      <c r="S108" s="401"/>
      <c r="T108" s="401"/>
      <c r="U108" s="401"/>
      <c r="V108" s="401"/>
      <c r="W108" s="401"/>
      <c r="X108" s="401"/>
      <c r="Y108" s="401"/>
      <c r="Z108" s="401"/>
      <c r="AA108" s="401"/>
      <c r="AB108" s="401"/>
      <c r="AC108" s="401"/>
      <c r="AD108" s="401"/>
      <c r="AE108" s="401"/>
      <c r="AF108" s="401"/>
      <c r="AG108" s="401"/>
      <c r="AH108" s="401"/>
      <c r="AI108" s="401"/>
      <c r="AJ108" s="401"/>
      <c r="AK108" s="401"/>
      <c r="AL108" s="401"/>
      <c r="AM108" s="401"/>
      <c r="AN108" s="401"/>
      <c r="AO108" s="401"/>
      <c r="AP108" s="401"/>
      <c r="AQ108" s="401"/>
      <c r="AR108" s="401"/>
      <c r="AS108" s="401"/>
      <c r="AT108" s="401"/>
      <c r="AU108" s="401"/>
      <c r="AV108" s="401"/>
      <c r="AW108" s="401"/>
      <c r="AX108" s="401"/>
      <c r="AY108" s="401"/>
      <c r="AZ108" s="401"/>
      <c r="BA108" s="401"/>
      <c r="BB108" s="401"/>
      <c r="BC108" s="401"/>
      <c r="BD108" s="401"/>
      <c r="BE108" s="401"/>
      <c r="BF108" s="401"/>
      <c r="BG108" s="401"/>
      <c r="BH108" s="401"/>
      <c r="BI108" s="401"/>
      <c r="BJ108" s="401"/>
      <c r="BK108" s="401"/>
      <c r="BL108" s="401"/>
      <c r="BM108" s="401"/>
      <c r="BN108" s="401"/>
      <c r="BO108" s="401"/>
      <c r="BP108" s="401"/>
    </row>
    <row r="109" spans="1:68" ht="12.75">
      <c r="A109" s="558">
        <f t="shared" si="5"/>
        <v>16.86</v>
      </c>
      <c r="B109" s="563">
        <f t="shared" si="6"/>
        <v>16.86</v>
      </c>
      <c r="C109" s="371">
        <f t="shared" si="6"/>
        <v>4</v>
      </c>
      <c r="D109" s="468">
        <f t="shared" si="11"/>
        <v>10</v>
      </c>
      <c r="E109" s="468">
        <f>IF(OR($C109&lt;$C$55,$C109&gt;$F$55,$G$59&lt;0.5)," ",B109*C109)</f>
        <v>67.44</v>
      </c>
      <c r="F109" s="468">
        <f>IF(OR($C109&lt;$C$55,$C109&gt;$F$55,$G$59&lt;0.5)," ",$B109*(C109-G$115)*(C109-G$115))</f>
        <v>25.702801757399985</v>
      </c>
      <c r="G109" s="468">
        <f>IF(OR($C109&lt;$C$55,$C109&gt;$F$55,$G$59&lt;0.5)," ",B109*D109)</f>
        <v>168.6</v>
      </c>
      <c r="H109" s="562">
        <f>IF(OR($C109&lt;$C$55,$C109&gt;$F$55,$G$59&lt;0.5)," ",$B109*(D109-I$115)*(D109-I$115))</f>
        <v>285.5866861933331</v>
      </c>
      <c r="I109" s="546"/>
      <c r="J109" s="401"/>
      <c r="K109" s="401"/>
      <c r="L109" s="401"/>
      <c r="M109" s="401"/>
      <c r="N109" s="401"/>
      <c r="O109" s="401"/>
      <c r="P109" s="401"/>
      <c r="Q109" s="401"/>
      <c r="R109" s="401"/>
      <c r="S109" s="401"/>
      <c r="T109" s="401"/>
      <c r="U109" s="401"/>
      <c r="V109" s="401"/>
      <c r="W109" s="401"/>
      <c r="X109" s="401"/>
      <c r="Y109" s="401"/>
      <c r="Z109" s="401"/>
      <c r="AA109" s="401"/>
      <c r="AB109" s="401"/>
      <c r="AC109" s="401"/>
      <c r="AD109" s="401"/>
      <c r="AE109" s="401"/>
      <c r="AF109" s="401"/>
      <c r="AG109" s="401"/>
      <c r="AH109" s="401"/>
      <c r="AI109" s="401"/>
      <c r="AJ109" s="401"/>
      <c r="AK109" s="401"/>
      <c r="AL109" s="401"/>
      <c r="AM109" s="401"/>
      <c r="AN109" s="401"/>
      <c r="AO109" s="401"/>
      <c r="AP109" s="401"/>
      <c r="AQ109" s="401"/>
      <c r="AR109" s="401"/>
      <c r="AS109" s="401"/>
      <c r="AT109" s="401"/>
      <c r="AU109" s="401"/>
      <c r="AV109" s="401"/>
      <c r="AW109" s="401"/>
      <c r="AX109" s="401"/>
      <c r="AY109" s="401"/>
      <c r="AZ109" s="401"/>
      <c r="BA109" s="401"/>
      <c r="BB109" s="401"/>
      <c r="BC109" s="401"/>
      <c r="BD109" s="401"/>
      <c r="BE109" s="401"/>
      <c r="BF109" s="401"/>
      <c r="BG109" s="401"/>
      <c r="BH109" s="401"/>
      <c r="BI109" s="401"/>
      <c r="BJ109" s="401"/>
      <c r="BK109" s="401"/>
      <c r="BL109" s="401"/>
      <c r="BM109" s="401"/>
      <c r="BN109" s="401"/>
      <c r="BO109" s="401"/>
      <c r="BP109" s="401"/>
    </row>
    <row r="110" spans="1:68" ht="12.75">
      <c r="A110" s="558">
        <f t="shared" si="5"/>
        <v>47.83</v>
      </c>
      <c r="B110" s="563">
        <f t="shared" si="6"/>
        <v>47.83</v>
      </c>
      <c r="C110" s="371">
        <f t="shared" si="6"/>
        <v>3</v>
      </c>
      <c r="D110" s="468">
        <f t="shared" si="11"/>
        <v>6.666666666666667</v>
      </c>
      <c r="E110" s="468">
        <f>IF(OR($C110&lt;$C$55,$C110&gt;$F$55,$G$59&lt;0.5)," ",B110*C110)</f>
        <v>143.49</v>
      </c>
      <c r="F110" s="468">
        <f>IF(OR($C110&lt;$C$55,$C110&gt;$F$55,$G$59&lt;0.5)," ",$B110*(C110-G$115)*(C110-G$115))</f>
        <v>2.634672024699993</v>
      </c>
      <c r="G110" s="468">
        <f>IF(OR($C110&lt;$C$55,$C110&gt;$F$55,$G$59&lt;0.5)," ",B110*D110)</f>
        <v>318.8666666666667</v>
      </c>
      <c r="H110" s="562">
        <f>IF(OR($C110&lt;$C$55,$C110&gt;$F$55,$G$59&lt;0.5)," ",$B110*(D110-I$115)*(D110-I$115))</f>
        <v>29.274133607777674</v>
      </c>
      <c r="I110" s="546"/>
      <c r="J110" s="401"/>
      <c r="K110" s="401"/>
      <c r="L110" s="401"/>
      <c r="M110" s="401"/>
      <c r="N110" s="401"/>
      <c r="O110" s="401"/>
      <c r="P110" s="401"/>
      <c r="Q110" s="401"/>
      <c r="R110" s="401"/>
      <c r="S110" s="401"/>
      <c r="T110" s="401"/>
      <c r="U110" s="401"/>
      <c r="V110" s="401"/>
      <c r="W110" s="401"/>
      <c r="X110" s="401"/>
      <c r="Y110" s="401"/>
      <c r="Z110" s="401"/>
      <c r="AA110" s="401"/>
      <c r="AB110" s="401"/>
      <c r="AC110" s="401"/>
      <c r="AD110" s="401"/>
      <c r="AE110" s="401"/>
      <c r="AF110" s="401"/>
      <c r="AG110" s="401"/>
      <c r="AH110" s="401"/>
      <c r="AI110" s="401"/>
      <c r="AJ110" s="401"/>
      <c r="AK110" s="401"/>
      <c r="AL110" s="401"/>
      <c r="AM110" s="401"/>
      <c r="AN110" s="401"/>
      <c r="AO110" s="401"/>
      <c r="AP110" s="401"/>
      <c r="AQ110" s="401"/>
      <c r="AR110" s="401"/>
      <c r="AS110" s="401"/>
      <c r="AT110" s="401"/>
      <c r="AU110" s="401"/>
      <c r="AV110" s="401"/>
      <c r="AW110" s="401"/>
      <c r="AX110" s="401"/>
      <c r="AY110" s="401"/>
      <c r="AZ110" s="401"/>
      <c r="BA110" s="401"/>
      <c r="BB110" s="401"/>
      <c r="BC110" s="401"/>
      <c r="BD110" s="401"/>
      <c r="BE110" s="401"/>
      <c r="BF110" s="401"/>
      <c r="BG110" s="401"/>
      <c r="BH110" s="401"/>
      <c r="BI110" s="401"/>
      <c r="BJ110" s="401"/>
      <c r="BK110" s="401"/>
      <c r="BL110" s="401"/>
      <c r="BM110" s="401"/>
      <c r="BN110" s="401"/>
      <c r="BO110" s="401"/>
      <c r="BP110" s="401"/>
    </row>
    <row r="111" spans="1:68" ht="12.75">
      <c r="A111" s="558">
        <f t="shared" si="5"/>
        <v>30.29</v>
      </c>
      <c r="B111" s="563">
        <f t="shared" si="6"/>
        <v>30.29</v>
      </c>
      <c r="C111" s="371">
        <f t="shared" si="6"/>
        <v>2</v>
      </c>
      <c r="D111" s="468">
        <f t="shared" si="11"/>
        <v>3.3333333333333335</v>
      </c>
      <c r="E111" s="468">
        <f>IF(OR($C111&lt;$C$55,$C111&gt;$F$55,$G$59&lt;0.5)," ",B111*C111)</f>
        <v>60.58</v>
      </c>
      <c r="F111" s="468">
        <f>IF(OR($C111&lt;$C$55,$C111&gt;$F$55,$G$59&lt;0.5)," ",$B111*(C111-G$115)*(C111-G$115))</f>
        <v>17.740371086100012</v>
      </c>
      <c r="G111" s="468">
        <f>IF(OR($C111&lt;$C$55,$C111&gt;$F$55,$G$59&lt;0.5)," ",B111*D111)</f>
        <v>100.96666666666667</v>
      </c>
      <c r="H111" s="562">
        <f>IF(OR($C111&lt;$C$55,$C111&gt;$F$55,$G$59&lt;0.5)," ",$B111*(D111-I$115)*(D111-I$115))</f>
        <v>197.11523429000022</v>
      </c>
      <c r="I111" s="546"/>
      <c r="J111" s="401"/>
      <c r="K111" s="401"/>
      <c r="L111" s="401"/>
      <c r="M111" s="401"/>
      <c r="N111" s="401"/>
      <c r="O111" s="401"/>
      <c r="P111" s="401"/>
      <c r="Q111" s="401"/>
      <c r="R111" s="401"/>
      <c r="S111" s="401"/>
      <c r="T111" s="401"/>
      <c r="U111" s="401"/>
      <c r="V111" s="401"/>
      <c r="W111" s="401"/>
      <c r="X111" s="401"/>
      <c r="Y111" s="401"/>
      <c r="Z111" s="401"/>
      <c r="AA111" s="401"/>
      <c r="AB111" s="401"/>
      <c r="AC111" s="401"/>
      <c r="AD111" s="401"/>
      <c r="AE111" s="401"/>
      <c r="AF111" s="401"/>
      <c r="AG111" s="401"/>
      <c r="AH111" s="401"/>
      <c r="AI111" s="401"/>
      <c r="AJ111" s="401"/>
      <c r="AK111" s="401"/>
      <c r="AL111" s="401"/>
      <c r="AM111" s="401"/>
      <c r="AN111" s="401"/>
      <c r="AO111" s="401"/>
      <c r="AP111" s="401"/>
      <c r="AQ111" s="401"/>
      <c r="AR111" s="401"/>
      <c r="AS111" s="401"/>
      <c r="AT111" s="401"/>
      <c r="AU111" s="401"/>
      <c r="AV111" s="401"/>
      <c r="AW111" s="401"/>
      <c r="AX111" s="401"/>
      <c r="AY111" s="401"/>
      <c r="AZ111" s="401"/>
      <c r="BA111" s="401"/>
      <c r="BB111" s="401"/>
      <c r="BC111" s="401"/>
      <c r="BD111" s="401"/>
      <c r="BE111" s="401"/>
      <c r="BF111" s="401"/>
      <c r="BG111" s="401"/>
      <c r="BH111" s="401"/>
      <c r="BI111" s="401"/>
      <c r="BJ111" s="401"/>
      <c r="BK111" s="401"/>
      <c r="BL111" s="401"/>
      <c r="BM111" s="401"/>
      <c r="BN111" s="401"/>
      <c r="BO111" s="401"/>
      <c r="BP111" s="401"/>
    </row>
    <row r="112" spans="1:68" ht="12.75">
      <c r="A112" s="558">
        <f t="shared" si="5"/>
        <v>5.02</v>
      </c>
      <c r="B112" s="563">
        <f t="shared" si="6"/>
        <v>5.02</v>
      </c>
      <c r="C112" s="371">
        <f t="shared" si="6"/>
        <v>1</v>
      </c>
      <c r="D112" s="468">
        <f t="shared" si="11"/>
        <v>0</v>
      </c>
      <c r="E112" s="468">
        <f>IF(OR($C112&lt;$C$55,$C112&gt;$F$55,$G$59&lt;0.5)," ",B112*C112)</f>
        <v>5.02</v>
      </c>
      <c r="F112" s="468">
        <f>IF(OR($C112&lt;$C$55,$C112&gt;$F$55,$G$59&lt;0.5)," ",$B112*(C112-G$115)*(C112-G$115))</f>
        <v>15.643746131800006</v>
      </c>
      <c r="G112" s="468">
        <f>IF(OR($C112&lt;$C$55,$C112&gt;$F$55,$G$59&lt;0.5)," ",B112*D112)</f>
        <v>0</v>
      </c>
      <c r="H112" s="562">
        <f>IF(OR($C112&lt;$C$55,$C112&gt;$F$55,$G$59&lt;0.5)," ",$B112*(D112-I$115)*(D112-I$115))</f>
        <v>173.81940146444452</v>
      </c>
      <c r="I112" s="546"/>
      <c r="J112" s="401"/>
      <c r="K112" s="401"/>
      <c r="L112" s="401"/>
      <c r="M112" s="401"/>
      <c r="N112" s="401"/>
      <c r="O112" s="401"/>
      <c r="P112" s="401"/>
      <c r="Q112" s="401"/>
      <c r="R112" s="401"/>
      <c r="S112" s="401"/>
      <c r="T112" s="401"/>
      <c r="U112" s="401"/>
      <c r="V112" s="401"/>
      <c r="W112" s="401"/>
      <c r="X112" s="401"/>
      <c r="Y112" s="401"/>
      <c r="Z112" s="401"/>
      <c r="AA112" s="401"/>
      <c r="AB112" s="401"/>
      <c r="AC112" s="401"/>
      <c r="AD112" s="401"/>
      <c r="AE112" s="401"/>
      <c r="AF112" s="401"/>
      <c r="AG112" s="401"/>
      <c r="AH112" s="401"/>
      <c r="AI112" s="401"/>
      <c r="AJ112" s="401"/>
      <c r="AK112" s="401"/>
      <c r="AL112" s="401"/>
      <c r="AM112" s="401"/>
      <c r="AN112" s="401"/>
      <c r="AO112" s="401"/>
      <c r="AP112" s="401"/>
      <c r="AQ112" s="401"/>
      <c r="AR112" s="401"/>
      <c r="AS112" s="401"/>
      <c r="AT112" s="401"/>
      <c r="AU112" s="401"/>
      <c r="AV112" s="401"/>
      <c r="AW112" s="401"/>
      <c r="AX112" s="401"/>
      <c r="AY112" s="401"/>
      <c r="AZ112" s="401"/>
      <c r="BA112" s="401"/>
      <c r="BB112" s="401"/>
      <c r="BC112" s="401"/>
      <c r="BD112" s="401"/>
      <c r="BE112" s="401"/>
      <c r="BF112" s="401"/>
      <c r="BG112" s="401"/>
      <c r="BH112" s="401"/>
      <c r="BI112" s="401"/>
      <c r="BJ112" s="401"/>
      <c r="BK112" s="401"/>
      <c r="BL112" s="401"/>
      <c r="BM112" s="401"/>
      <c r="BN112" s="401"/>
      <c r="BO112" s="401"/>
      <c r="BP112" s="401"/>
    </row>
    <row r="113" spans="1:14" ht="13.5" thickBot="1">
      <c r="A113" s="558" t="str">
        <f t="shared" si="5"/>
        <v> </v>
      </c>
      <c r="B113" s="563">
        <f t="shared" si="6"/>
        <v>0</v>
      </c>
      <c r="C113" s="371">
        <f t="shared" si="6"/>
        <v>0</v>
      </c>
      <c r="D113" s="468" t="str">
        <f t="shared" si="11"/>
        <v> </v>
      </c>
      <c r="E113" s="468" t="str">
        <f>IF(OR($C113&lt;$C$55,$C113&gt;$F$55,$G$59&lt;0.5)," ",B113*C113)</f>
        <v> </v>
      </c>
      <c r="F113" s="468" t="str">
        <f>IF(OR($C113&lt;$C$55,$C113&gt;$F$55,$G$59&lt;0.5)," ",$B113*(C113-G$115)*(C113-G$115))</f>
        <v> </v>
      </c>
      <c r="G113" s="468" t="str">
        <f>IF(OR($C113&lt;$C$55,$C113&gt;$F$55,$G$59&lt;0.5)," ",B113*D113)</f>
        <v> </v>
      </c>
      <c r="H113" s="562" t="str">
        <f>IF(OR($C113&lt;$C$55,$C113&gt;$F$55,$G$59&lt;0.5)," ",$B113*(D113-I$115)*(D113-I$115))</f>
        <v> </v>
      </c>
      <c r="I113" s="546"/>
      <c r="J113" s="401"/>
      <c r="K113" s="401"/>
      <c r="L113" s="401"/>
      <c r="M113" s="401"/>
      <c r="N113" s="401"/>
    </row>
    <row r="114" spans="1:14" ht="12.75">
      <c r="A114" s="564" t="s">
        <v>100</v>
      </c>
      <c r="B114" s="496"/>
      <c r="C114" s="496"/>
      <c r="D114" s="496"/>
      <c r="E114" s="496"/>
      <c r="F114" s="496"/>
      <c r="G114" s="565" t="s">
        <v>8</v>
      </c>
      <c r="H114" s="496"/>
      <c r="I114" s="566" t="s">
        <v>10</v>
      </c>
      <c r="J114" s="567"/>
      <c r="K114" s="401"/>
      <c r="L114" s="401"/>
      <c r="M114" s="401"/>
      <c r="N114" s="401"/>
    </row>
    <row r="115" spans="1:14" ht="12.75">
      <c r="A115" s="568"/>
      <c r="B115" s="520"/>
      <c r="C115" s="520"/>
      <c r="D115" s="520"/>
      <c r="E115" s="520"/>
      <c r="F115" s="521" t="s">
        <v>11</v>
      </c>
      <c r="G115" s="569">
        <f>IF($G$59=0,"     ",+E100/$G$59)</f>
        <v>2.7653000000000003</v>
      </c>
      <c r="H115" s="371"/>
      <c r="I115" s="570">
        <f>IF($G$59=0,"     ",+G100/$G$59)</f>
        <v>5.884333333333335</v>
      </c>
      <c r="J115" s="567"/>
      <c r="K115" s="401"/>
      <c r="L115" s="401"/>
      <c r="M115" s="401"/>
      <c r="N115" s="401"/>
    </row>
    <row r="116" spans="1:14" ht="12.75">
      <c r="A116" s="568"/>
      <c r="B116" s="520"/>
      <c r="C116" s="520"/>
      <c r="D116" s="520"/>
      <c r="E116" s="520"/>
      <c r="F116" s="521" t="s">
        <v>49</v>
      </c>
      <c r="G116" s="571">
        <f>G$115-(TINV(0.05,$H$118))*G121/(SQRT($G$59))</f>
        <v>2.609394104900074</v>
      </c>
      <c r="H116" s="371"/>
      <c r="I116" s="572">
        <f>I$115-(TINV(0.05,$H$118))*I121/(SQRT($G$59))</f>
        <v>5.36464701633358</v>
      </c>
      <c r="J116" s="567"/>
      <c r="K116" s="401"/>
      <c r="L116" s="401"/>
      <c r="M116" s="401"/>
      <c r="N116" s="401"/>
    </row>
    <row r="117" spans="1:14" ht="12.75">
      <c r="A117" s="568"/>
      <c r="B117" s="520"/>
      <c r="C117" s="520"/>
      <c r="D117" s="520"/>
      <c r="E117" s="520"/>
      <c r="F117" s="521" t="s">
        <v>50</v>
      </c>
      <c r="G117" s="571">
        <f>G$115+(TINV(0.05,$H$118))*G121/(SQRT($G$59))</f>
        <v>2.9212058950999267</v>
      </c>
      <c r="H117" s="371"/>
      <c r="I117" s="572">
        <f>I$115+(TINV(0.05,$H$118))*I121/(SQRT($G$59))</f>
        <v>6.4040196503330895</v>
      </c>
      <c r="J117" s="567"/>
      <c r="K117" s="401"/>
      <c r="L117" s="401"/>
      <c r="M117" s="401"/>
      <c r="N117" s="401"/>
    </row>
    <row r="118" spans="1:14" ht="12.75">
      <c r="A118" s="568"/>
      <c r="B118" s="520"/>
      <c r="C118" s="520" t="s">
        <v>173</v>
      </c>
      <c r="D118" s="520"/>
      <c r="E118" s="520"/>
      <c r="F118" s="521" t="s">
        <v>45</v>
      </c>
      <c r="G118" s="571">
        <f>IF(H118&lt;1,"   ",F100/H118)</f>
        <v>0.6234504141414142</v>
      </c>
      <c r="H118" s="573">
        <f>G59-1</f>
        <v>98.99999999999999</v>
      </c>
      <c r="I118" s="572">
        <f>IF(H118&lt;1,"   ",+H100/H118)</f>
        <v>6.92722682379349</v>
      </c>
      <c r="J118" s="595"/>
      <c r="K118" s="401"/>
      <c r="L118" s="401"/>
      <c r="M118" s="401"/>
      <c r="N118" s="401"/>
    </row>
    <row r="119" spans="1:14" ht="12.75">
      <c r="A119" s="568"/>
      <c r="B119" s="520"/>
      <c r="C119" s="575" t="s">
        <v>174</v>
      </c>
      <c r="D119" s="575"/>
      <c r="E119" s="575"/>
      <c r="F119" s="576" t="s">
        <v>46</v>
      </c>
      <c r="G119" s="571">
        <f>IF(G118&gt;0,SQRT(G118),"   ")</f>
        <v>0.7895887626742254</v>
      </c>
      <c r="H119" s="577" t="s">
        <v>81</v>
      </c>
      <c r="I119" s="572">
        <f>IF(I118&gt;0,SQRT(I118),"   ")</f>
        <v>2.6319625422474178</v>
      </c>
      <c r="J119" s="595"/>
      <c r="K119" s="401"/>
      <c r="L119" s="401"/>
      <c r="M119" s="401"/>
      <c r="N119" s="401"/>
    </row>
    <row r="120" spans="1:14" ht="12.75">
      <c r="A120" s="568"/>
      <c r="B120" s="520"/>
      <c r="C120" s="590" t="s">
        <v>175</v>
      </c>
      <c r="D120" s="520"/>
      <c r="E120" s="520"/>
      <c r="F120" s="521" t="s">
        <v>45</v>
      </c>
      <c r="G120" s="571">
        <f>IF(H118&lt;1,"   ",G118*H118/(H118+1))</f>
        <v>0.6172159100000001</v>
      </c>
      <c r="H120" s="573"/>
      <c r="I120" s="572">
        <f>IF(H118&lt;1,"   ",I118*H118/(H118+1))</f>
        <v>6.857954555555556</v>
      </c>
      <c r="J120" s="595"/>
      <c r="K120" s="401"/>
      <c r="L120" s="401"/>
      <c r="M120" s="401"/>
      <c r="N120" s="401"/>
    </row>
    <row r="121" spans="1:14" ht="12.75">
      <c r="A121" s="574"/>
      <c r="B121" s="575"/>
      <c r="C121" s="575" t="s">
        <v>176</v>
      </c>
      <c r="D121" s="575"/>
      <c r="E121" s="575"/>
      <c r="F121" s="591" t="s">
        <v>46</v>
      </c>
      <c r="G121" s="571">
        <f>IF(G120&gt;0,SQRT(G120),"   ")</f>
        <v>0.7856308993414147</v>
      </c>
      <c r="H121" s="577"/>
      <c r="I121" s="572">
        <f>IF(I120&gt;0,SQRT(I120),"   ")</f>
        <v>2.6187696644713823</v>
      </c>
      <c r="J121" s="595"/>
      <c r="K121" s="401"/>
      <c r="L121" s="401"/>
      <c r="M121" s="401"/>
      <c r="N121" s="401"/>
    </row>
    <row r="122" spans="1:14" ht="12.75">
      <c r="A122" s="592" t="s">
        <v>28</v>
      </c>
      <c r="B122" s="590"/>
      <c r="C122" s="593"/>
      <c r="D122" s="593"/>
      <c r="E122" s="593"/>
      <c r="F122" s="594"/>
      <c r="G122" s="578" t="s">
        <v>8</v>
      </c>
      <c r="H122" s="523"/>
      <c r="I122" s="579" t="s">
        <v>10</v>
      </c>
      <c r="J122" s="567"/>
      <c r="K122" s="401"/>
      <c r="L122" s="401"/>
      <c r="M122" s="401"/>
      <c r="N122" s="401"/>
    </row>
    <row r="123" spans="1:14" ht="12.75">
      <c r="A123" s="568"/>
      <c r="B123" s="520"/>
      <c r="C123" s="520"/>
      <c r="D123" s="520"/>
      <c r="E123" s="520"/>
      <c r="F123" s="580" t="s">
        <v>11</v>
      </c>
      <c r="G123" s="569">
        <f>$F$55+$C$55-G115</f>
        <v>2.2346999999999997</v>
      </c>
      <c r="H123" s="523"/>
      <c r="I123" s="570">
        <f>10-I115</f>
        <v>4.115666666666665</v>
      </c>
      <c r="J123" s="567"/>
      <c r="K123" s="401"/>
      <c r="L123" s="401"/>
      <c r="M123" s="401"/>
      <c r="N123" s="401"/>
    </row>
    <row r="124" spans="1:14" ht="12.75">
      <c r="A124" s="568"/>
      <c r="B124" s="520"/>
      <c r="C124" s="520"/>
      <c r="D124" s="520"/>
      <c r="E124" s="520"/>
      <c r="F124" s="521" t="s">
        <v>49</v>
      </c>
      <c r="G124" s="569">
        <f>$F$55+$C$55-G117</f>
        <v>2.0787941049000733</v>
      </c>
      <c r="H124" s="523"/>
      <c r="I124" s="570">
        <f>10-I117</f>
        <v>3.5959803496669105</v>
      </c>
      <c r="J124" s="567"/>
      <c r="K124" s="401"/>
      <c r="L124" s="401"/>
      <c r="M124" s="401"/>
      <c r="N124" s="401"/>
    </row>
    <row r="125" spans="1:14" ht="13.5" thickBot="1">
      <c r="A125" s="568"/>
      <c r="B125" s="520"/>
      <c r="C125" s="520"/>
      <c r="D125" s="520"/>
      <c r="E125" s="520"/>
      <c r="F125" s="521" t="s">
        <v>50</v>
      </c>
      <c r="G125" s="581">
        <f>$F$55+$C$55-G116</f>
        <v>2.390605895099926</v>
      </c>
      <c r="H125" s="523"/>
      <c r="I125" s="582">
        <f>10-I116</f>
        <v>4.63535298366642</v>
      </c>
      <c r="J125" s="567"/>
      <c r="K125" s="401"/>
      <c r="L125" s="401"/>
      <c r="M125" s="401"/>
      <c r="N125" s="401"/>
    </row>
    <row r="126" spans="1:14" ht="13.5" thickBot="1">
      <c r="A126" s="583"/>
      <c r="B126" s="584"/>
      <c r="C126" s="584"/>
      <c r="D126" s="584"/>
      <c r="E126" s="585" t="s">
        <v>88</v>
      </c>
      <c r="F126" s="586"/>
      <c r="G126" s="586"/>
      <c r="H126" s="586"/>
      <c r="I126" s="587"/>
      <c r="J126" s="567"/>
      <c r="K126" s="401"/>
      <c r="L126" s="401"/>
      <c r="M126" s="401"/>
      <c r="N126" s="401"/>
    </row>
    <row r="127" spans="10:14" ht="13.5" thickTop="1">
      <c r="J127" s="401"/>
      <c r="K127" s="401"/>
      <c r="L127" s="401"/>
      <c r="M127" s="401"/>
      <c r="N127" s="401"/>
    </row>
    <row r="128" spans="2:14" ht="15.75" thickBot="1">
      <c r="B128" s="611" t="s">
        <v>179</v>
      </c>
      <c r="J128" s="401"/>
      <c r="K128" s="401"/>
      <c r="L128" s="401"/>
      <c r="M128" s="401"/>
      <c r="N128" s="401"/>
    </row>
    <row r="129" spans="2:14" ht="12.75">
      <c r="B129" s="599"/>
      <c r="C129" s="600"/>
      <c r="D129" s="600"/>
      <c r="E129" s="600"/>
      <c r="F129" s="600"/>
      <c r="G129" s="600"/>
      <c r="H129" s="600"/>
      <c r="I129" s="601"/>
      <c r="J129"/>
      <c r="K129" s="401"/>
      <c r="L129" s="401"/>
      <c r="M129" s="401"/>
      <c r="N129" s="401"/>
    </row>
    <row r="130" spans="2:14" ht="12.75">
      <c r="B130" s="602"/>
      <c r="C130" s="603"/>
      <c r="D130" s="603"/>
      <c r="E130" s="603"/>
      <c r="F130" s="603"/>
      <c r="G130" s="603"/>
      <c r="H130" s="603"/>
      <c r="I130" s="604"/>
      <c r="J130"/>
      <c r="K130" s="401"/>
      <c r="L130" s="401"/>
      <c r="M130" s="401"/>
      <c r="N130" s="401"/>
    </row>
    <row r="131" spans="2:14" ht="12.75">
      <c r="B131" s="602"/>
      <c r="C131" s="603"/>
      <c r="D131" s="603"/>
      <c r="E131" s="603"/>
      <c r="F131" s="603"/>
      <c r="G131" s="603"/>
      <c r="H131" s="603"/>
      <c r="I131" s="604"/>
      <c r="J131"/>
      <c r="K131" s="401"/>
      <c r="L131" s="401"/>
      <c r="M131" s="401"/>
      <c r="N131" s="401"/>
    </row>
    <row r="132" spans="2:10" ht="12.75">
      <c r="B132" s="602"/>
      <c r="C132" s="603"/>
      <c r="D132" s="603"/>
      <c r="E132" s="603"/>
      <c r="F132" s="603"/>
      <c r="G132" s="603"/>
      <c r="H132" s="603"/>
      <c r="I132" s="604"/>
      <c r="J132"/>
    </row>
    <row r="133" spans="2:10" ht="12.75">
      <c r="B133" s="602"/>
      <c r="C133" s="603"/>
      <c r="D133" s="603"/>
      <c r="E133" s="603"/>
      <c r="F133" s="603"/>
      <c r="G133" s="603"/>
      <c r="H133" s="603"/>
      <c r="I133" s="604"/>
      <c r="J133"/>
    </row>
    <row r="134" spans="2:9" ht="12.75">
      <c r="B134" s="605"/>
      <c r="C134" s="606"/>
      <c r="D134" s="606"/>
      <c r="E134" s="606"/>
      <c r="F134" s="606"/>
      <c r="G134" s="606"/>
      <c r="H134" s="606"/>
      <c r="I134" s="607"/>
    </row>
    <row r="135" spans="2:9" ht="12.75">
      <c r="B135" s="605"/>
      <c r="C135" s="606"/>
      <c r="D135" s="606"/>
      <c r="E135" s="606"/>
      <c r="F135" s="606"/>
      <c r="G135" s="606"/>
      <c r="H135" s="606"/>
      <c r="I135" s="607"/>
    </row>
    <row r="136" spans="2:9" ht="12.75">
      <c r="B136" s="605"/>
      <c r="C136" s="606"/>
      <c r="D136" s="606"/>
      <c r="E136" s="606"/>
      <c r="F136" s="606"/>
      <c r="G136" s="606"/>
      <c r="H136" s="606"/>
      <c r="I136" s="607"/>
    </row>
    <row r="137" spans="2:9" ht="12.75">
      <c r="B137" s="605"/>
      <c r="C137" s="606"/>
      <c r="D137" s="606"/>
      <c r="E137" s="606"/>
      <c r="F137" s="606"/>
      <c r="G137" s="606"/>
      <c r="H137" s="606"/>
      <c r="I137" s="607"/>
    </row>
    <row r="138" spans="2:9" ht="12.75">
      <c r="B138" s="605"/>
      <c r="C138" s="606"/>
      <c r="D138" s="606"/>
      <c r="E138" s="606"/>
      <c r="F138" s="606"/>
      <c r="G138" s="606"/>
      <c r="H138" s="606"/>
      <c r="I138" s="607"/>
    </row>
    <row r="139" spans="2:9" ht="12.75">
      <c r="B139" s="605"/>
      <c r="C139" s="606"/>
      <c r="D139" s="606"/>
      <c r="E139" s="606"/>
      <c r="F139" s="606"/>
      <c r="G139" s="606"/>
      <c r="H139" s="606"/>
      <c r="I139" s="607"/>
    </row>
    <row r="140" spans="2:9" ht="12.75">
      <c r="B140" s="605"/>
      <c r="C140" s="606"/>
      <c r="D140" s="606"/>
      <c r="E140" s="606"/>
      <c r="F140" s="606"/>
      <c r="G140" s="606"/>
      <c r="H140" s="606"/>
      <c r="I140" s="607"/>
    </row>
    <row r="141" spans="2:9" ht="12.75">
      <c r="B141" s="605"/>
      <c r="C141" s="606"/>
      <c r="D141" s="606"/>
      <c r="E141" s="606"/>
      <c r="F141" s="606"/>
      <c r="G141" s="606"/>
      <c r="H141" s="606"/>
      <c r="I141" s="607"/>
    </row>
    <row r="142" spans="2:9" ht="12.75">
      <c r="B142" s="605"/>
      <c r="C142" s="606"/>
      <c r="D142" s="606"/>
      <c r="E142" s="606"/>
      <c r="F142" s="606"/>
      <c r="G142" s="606"/>
      <c r="H142" s="606"/>
      <c r="I142" s="607"/>
    </row>
    <row r="143" spans="2:9" ht="12.75">
      <c r="B143" s="605"/>
      <c r="C143" s="606"/>
      <c r="D143" s="606"/>
      <c r="E143" s="606"/>
      <c r="F143" s="606"/>
      <c r="G143" s="606"/>
      <c r="H143" s="606"/>
      <c r="I143" s="607"/>
    </row>
    <row r="144" spans="2:9" ht="12.75">
      <c r="B144" s="605"/>
      <c r="C144" s="606"/>
      <c r="D144" s="606"/>
      <c r="E144" s="606"/>
      <c r="F144" s="606"/>
      <c r="G144" s="606"/>
      <c r="H144" s="606"/>
      <c r="I144" s="607"/>
    </row>
    <row r="145" spans="2:9" ht="12.75">
      <c r="B145" s="605"/>
      <c r="C145" s="606"/>
      <c r="D145" s="606"/>
      <c r="E145" s="606"/>
      <c r="F145" s="606"/>
      <c r="G145" s="606"/>
      <c r="H145" s="606"/>
      <c r="I145" s="607"/>
    </row>
    <row r="146" spans="2:9" ht="12.75">
      <c r="B146" s="605"/>
      <c r="C146" s="606"/>
      <c r="D146" s="606"/>
      <c r="E146" s="606"/>
      <c r="F146" s="606"/>
      <c r="G146" s="606"/>
      <c r="H146" s="606"/>
      <c r="I146" s="607"/>
    </row>
    <row r="147" spans="2:9" ht="12.75">
      <c r="B147" s="605"/>
      <c r="C147" s="606"/>
      <c r="D147" s="606"/>
      <c r="E147" s="606"/>
      <c r="F147" s="606"/>
      <c r="G147" s="606"/>
      <c r="H147" s="606"/>
      <c r="I147" s="607"/>
    </row>
    <row r="148" spans="2:9" ht="13.5" thickBot="1">
      <c r="B148" s="608"/>
      <c r="C148" s="609"/>
      <c r="D148" s="609"/>
      <c r="E148" s="609"/>
      <c r="F148" s="609"/>
      <c r="G148" s="609"/>
      <c r="H148" s="609"/>
      <c r="I148" s="610"/>
    </row>
  </sheetData>
  <sheetProtection password="C550" sheet="1" objects="1" scenarios="1"/>
  <printOptions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R163"/>
  <sheetViews>
    <sheetView showGridLines="0" zoomScalePageLayoutView="0" workbookViewId="0" topLeftCell="A106">
      <selection activeCell="H33" sqref="H33"/>
    </sheetView>
  </sheetViews>
  <sheetFormatPr defaultColWidth="9.625" defaultRowHeight="12.75"/>
  <cols>
    <col min="1" max="1" width="4.625" style="1" customWidth="1"/>
    <col min="2" max="2" width="8.75390625" style="1" customWidth="1"/>
    <col min="3" max="3" width="6.75390625" style="1" customWidth="1"/>
    <col min="4" max="4" width="10.125" style="1" customWidth="1"/>
    <col min="5" max="5" width="9.125" style="1" customWidth="1"/>
    <col min="6" max="7" width="9.625" style="1" customWidth="1"/>
    <col min="8" max="8" width="14.875" style="1" customWidth="1"/>
    <col min="9" max="16384" width="9.625" style="1" customWidth="1"/>
  </cols>
  <sheetData>
    <row r="1" spans="1:8" ht="14.25" thickBot="1" thickTop="1">
      <c r="A1" s="37" t="s">
        <v>53</v>
      </c>
      <c r="B1" s="46"/>
      <c r="C1" s="47"/>
      <c r="D1" s="47"/>
      <c r="E1" s="47"/>
      <c r="F1" s="47"/>
      <c r="G1" s="47"/>
      <c r="H1" s="48"/>
    </row>
    <row r="2" spans="1:8" ht="12.75">
      <c r="A2" s="49"/>
      <c r="B2" s="16" t="s">
        <v>2</v>
      </c>
      <c r="C2" s="7"/>
      <c r="D2" s="7"/>
      <c r="E2" s="7"/>
      <c r="F2" s="7"/>
      <c r="G2" s="5"/>
      <c r="H2" s="598" t="s">
        <v>177</v>
      </c>
    </row>
    <row r="3" spans="1:8" ht="13.5" thickBot="1">
      <c r="A3" s="49"/>
      <c r="B3" s="16"/>
      <c r="C3" s="7"/>
      <c r="D3" s="7"/>
      <c r="E3" s="7"/>
      <c r="F3" s="7"/>
      <c r="G3" s="5"/>
      <c r="H3" s="84"/>
    </row>
    <row r="4" spans="1:8" ht="13.5" thickBot="1">
      <c r="A4" s="49"/>
      <c r="B4" s="331" t="s">
        <v>151</v>
      </c>
      <c r="C4" s="332"/>
      <c r="D4" s="332"/>
      <c r="E4" s="333"/>
      <c r="F4" s="333"/>
      <c r="G4" s="334"/>
      <c r="H4" s="335"/>
    </row>
    <row r="5" spans="1:8" ht="13.5" thickBot="1">
      <c r="A5" s="49"/>
      <c r="B5" s="16"/>
      <c r="C5" s="7"/>
      <c r="D5" s="7"/>
      <c r="E5" s="7"/>
      <c r="F5" s="7"/>
      <c r="G5" s="5"/>
      <c r="H5" s="84"/>
    </row>
    <row r="6" spans="1:8" ht="12.75">
      <c r="A6" s="111" t="s">
        <v>3</v>
      </c>
      <c r="B6" s="26"/>
      <c r="C6" s="50"/>
      <c r="D6" s="50"/>
      <c r="E6" s="50"/>
      <c r="F6" s="10"/>
      <c r="G6" s="10"/>
      <c r="H6" s="23"/>
    </row>
    <row r="7" spans="1:8" ht="12.75">
      <c r="A7" s="49" t="s">
        <v>165</v>
      </c>
      <c r="B7" s="16"/>
      <c r="C7" s="7"/>
      <c r="D7" s="7"/>
      <c r="E7" s="7"/>
      <c r="F7" s="5"/>
      <c r="G7" s="5"/>
      <c r="H7" s="4"/>
    </row>
    <row r="8" spans="1:8" ht="12.75">
      <c r="A8" s="49" t="s">
        <v>83</v>
      </c>
      <c r="B8" s="16"/>
      <c r="C8" s="7"/>
      <c r="D8" s="7"/>
      <c r="E8" s="7"/>
      <c r="F8" s="5"/>
      <c r="G8" s="5"/>
      <c r="H8" s="4"/>
    </row>
    <row r="9" spans="1:8" ht="12.75">
      <c r="A9" s="49" t="s">
        <v>12</v>
      </c>
      <c r="B9" s="16"/>
      <c r="C9" s="7"/>
      <c r="D9" s="7"/>
      <c r="E9" s="7"/>
      <c r="F9" s="5"/>
      <c r="G9" s="5"/>
      <c r="H9" s="4"/>
    </row>
    <row r="10" spans="1:8" ht="12.75">
      <c r="A10" s="49" t="s">
        <v>84</v>
      </c>
      <c r="B10" s="16"/>
      <c r="C10" s="7"/>
      <c r="D10" s="7"/>
      <c r="E10" s="7"/>
      <c r="F10" s="5"/>
      <c r="G10" s="5"/>
      <c r="H10" s="4"/>
    </row>
    <row r="11" spans="1:8" ht="12.75">
      <c r="A11" s="49" t="s">
        <v>164</v>
      </c>
      <c r="B11" s="16"/>
      <c r="C11" s="7"/>
      <c r="D11" s="7"/>
      <c r="E11" s="7"/>
      <c r="F11" s="5"/>
      <c r="G11" s="5"/>
      <c r="H11" s="4"/>
    </row>
    <row r="12" spans="1:8" ht="12.75">
      <c r="A12" s="49"/>
      <c r="B12" s="16" t="s">
        <v>22</v>
      </c>
      <c r="C12" s="7"/>
      <c r="D12" s="7"/>
      <c r="E12" s="7"/>
      <c r="F12" s="5"/>
      <c r="G12" s="5"/>
      <c r="H12" s="4"/>
    </row>
    <row r="13" spans="1:8" ht="13.5" thickBot="1">
      <c r="A13" s="51"/>
      <c r="B13" s="24"/>
      <c r="C13" s="52"/>
      <c r="D13" s="52"/>
      <c r="E13" s="52"/>
      <c r="F13" s="11"/>
      <c r="G13" s="11"/>
      <c r="H13" s="25"/>
    </row>
    <row r="14" spans="1:8" ht="13.5" thickBot="1">
      <c r="A14" s="53" t="s">
        <v>43</v>
      </c>
      <c r="B14" s="16"/>
      <c r="C14" s="7"/>
      <c r="D14" s="7"/>
      <c r="E14" s="7"/>
      <c r="F14" s="5"/>
      <c r="G14" s="5"/>
      <c r="H14" s="4"/>
    </row>
    <row r="15" spans="1:9" ht="12.75">
      <c r="A15" s="49"/>
      <c r="B15" s="76" t="str">
        <f>IF(OR(SUM(B$37:$B50)&lt;90,SUM(B37:B50)&gt;110),"WARNING !!!"," ")</f>
        <v>WARNING !!!</v>
      </c>
      <c r="C15" s="77"/>
      <c r="D15" s="77"/>
      <c r="E15" s="77"/>
      <c r="F15" s="78"/>
      <c r="G15" s="22"/>
      <c r="H15" s="38"/>
      <c r="I15" s="14"/>
    </row>
    <row r="16" spans="1:9" ht="12.75">
      <c r="A16" s="49"/>
      <c r="B16" s="79" t="str">
        <f>IF(OR(SUM(B37:B$50)&lt;90,SUM(B37:B$50)&gt;110),"CHECK   YOUR  INPUT  THOROUGHLY !!!"," ")</f>
        <v>CHECK   YOUR  INPUT  THOROUGHLY !!!</v>
      </c>
      <c r="C16" s="57"/>
      <c r="D16" s="57"/>
      <c r="E16" s="57"/>
      <c r="F16" s="80"/>
      <c r="G16" s="22"/>
      <c r="H16" s="38"/>
      <c r="I16" s="14"/>
    </row>
    <row r="17" spans="1:9" ht="12.75">
      <c r="A17" s="49"/>
      <c r="B17" s="79" t="str">
        <f>IF(OR(SUM($B37:B50)&lt;90,SUM(B37:B$50)&gt;110),"AN INPUT ERROR MIGHT HAVE BEEN MADE"," ")</f>
        <v>AN INPUT ERROR MIGHT HAVE BEEN MADE</v>
      </c>
      <c r="C17" s="57"/>
      <c r="D17" s="57"/>
      <c r="E17" s="57"/>
      <c r="F17" s="80"/>
      <c r="G17" s="22"/>
      <c r="H17" s="38"/>
      <c r="I17" s="14"/>
    </row>
    <row r="18" spans="1:9" ht="12.75">
      <c r="A18" s="49"/>
      <c r="B18" s="79" t="str">
        <f>IF(SUM(A37:A49)&lt;G31,"CELLS OF UNDEFINED SCORES SHOULD BE LEFT BLANK"," ")</f>
        <v> </v>
      </c>
      <c r="C18" s="57"/>
      <c r="D18" s="57"/>
      <c r="E18" s="57"/>
      <c r="F18" s="80"/>
      <c r="G18" s="22"/>
      <c r="H18" s="38"/>
      <c r="I18" s="14"/>
    </row>
    <row r="19" spans="1:9" ht="13.5" thickBot="1">
      <c r="A19" s="49"/>
      <c r="B19" s="81" t="str">
        <f>IF(OR(SUM(B37:B$50)&lt;90,SUM(B37:B$50)&gt;110),"OUTPUT MIGHT BE UNRELIABLE"," ")</f>
        <v>OUTPUT MIGHT BE UNRELIABLE</v>
      </c>
      <c r="C19" s="82"/>
      <c r="D19" s="82"/>
      <c r="E19" s="82"/>
      <c r="F19" s="83"/>
      <c r="G19" s="22"/>
      <c r="H19" s="38"/>
      <c r="I19" s="14"/>
    </row>
    <row r="20" spans="1:10" ht="13.5" thickBot="1">
      <c r="A20" s="151" t="s">
        <v>78</v>
      </c>
      <c r="B20" s="16"/>
      <c r="C20" s="7"/>
      <c r="D20" s="7"/>
      <c r="E20" s="150" t="s">
        <v>129</v>
      </c>
      <c r="F20" s="16"/>
      <c r="G20" s="16"/>
      <c r="H20" s="4"/>
      <c r="J20"/>
    </row>
    <row r="21" spans="1:10" ht="12.75">
      <c r="A21" s="49"/>
      <c r="B21" s="342" t="s">
        <v>127</v>
      </c>
      <c r="C21" s="54"/>
      <c r="D21" s="107"/>
      <c r="E21" s="67"/>
      <c r="F21" s="175"/>
      <c r="G21" s="291">
        <v>6773</v>
      </c>
      <c r="H21" s="165"/>
      <c r="I21" s="14"/>
      <c r="J21"/>
    </row>
    <row r="22" spans="1:10" ht="12.75">
      <c r="A22" s="49"/>
      <c r="B22" s="275" t="s">
        <v>130</v>
      </c>
      <c r="C22" s="7"/>
      <c r="D22" s="7"/>
      <c r="E22" s="7"/>
      <c r="F22" s="267"/>
      <c r="G22" s="292">
        <v>0</v>
      </c>
      <c r="H22" s="165" t="s">
        <v>134</v>
      </c>
      <c r="I22" s="14"/>
      <c r="J22"/>
    </row>
    <row r="23" spans="1:10" ht="12.75">
      <c r="A23" s="49"/>
      <c r="B23" s="60" t="s">
        <v>128</v>
      </c>
      <c r="C23" s="7"/>
      <c r="D23" s="7"/>
      <c r="E23" s="7"/>
      <c r="F23" s="267"/>
      <c r="G23" s="292">
        <v>0</v>
      </c>
      <c r="H23" s="274">
        <f>IF(AND(G22&gt;0,G23&gt;0,ABS(G21*G22/100-G23)&gt;1),"ERROR !!","")</f>
      </c>
      <c r="I23" s="14"/>
      <c r="J23"/>
    </row>
    <row r="24" spans="1:10" ht="12.75">
      <c r="A24" s="49"/>
      <c r="B24" s="60" t="s">
        <v>171</v>
      </c>
      <c r="C24" s="7"/>
      <c r="D24" s="7"/>
      <c r="E24" s="7"/>
      <c r="F24" s="267"/>
      <c r="G24" s="233">
        <f>IF(G21&gt;0.5,ROUND((G21-MAX(G21*G22/100,G23)),0)," ")</f>
        <v>6773</v>
      </c>
      <c r="H24" s="165"/>
      <c r="I24" s="14"/>
      <c r="J24"/>
    </row>
    <row r="25" spans="1:10" ht="13.5" thickBot="1">
      <c r="A25" s="49"/>
      <c r="B25" s="268"/>
      <c r="C25" s="52"/>
      <c r="D25" s="52"/>
      <c r="E25" s="52"/>
      <c r="F25" s="269"/>
      <c r="G25" s="270"/>
      <c r="H25" s="165"/>
      <c r="I25" s="14"/>
      <c r="J25"/>
    </row>
    <row r="26" spans="1:10" ht="12.75">
      <c r="A26" s="49"/>
      <c r="B26" s="271" t="s">
        <v>97</v>
      </c>
      <c r="C26" s="272"/>
      <c r="D26" s="272"/>
      <c r="E26" s="272"/>
      <c r="F26" s="272"/>
      <c r="G26" s="273"/>
      <c r="H26" s="165"/>
      <c r="I26" s="14"/>
      <c r="J26"/>
    </row>
    <row r="27" spans="1:10" ht="12.75">
      <c r="A27" s="49"/>
      <c r="B27" s="337" t="s">
        <v>89</v>
      </c>
      <c r="C27" s="338"/>
      <c r="D27" s="339"/>
      <c r="E27" s="340" t="s">
        <v>90</v>
      </c>
      <c r="F27" s="338"/>
      <c r="G27" s="341"/>
      <c r="H27" s="165"/>
      <c r="I27" s="14"/>
      <c r="J27"/>
    </row>
    <row r="28" spans="1:10" ht="12.75">
      <c r="A28" s="49"/>
      <c r="B28" s="161"/>
      <c r="C28" s="293">
        <v>1</v>
      </c>
      <c r="D28" s="173" t="str">
        <f>IF(AND(F$28&gt;C$28,C$28&lt;2)," ","ERROR ?")</f>
        <v> </v>
      </c>
      <c r="E28" s="171"/>
      <c r="F28" s="290">
        <v>4</v>
      </c>
      <c r="G28" s="176" t="str">
        <f>IF(AND(F$28&gt;C$28,F$28&lt;13)," ","  ERROR  ?")</f>
        <v> </v>
      </c>
      <c r="H28" s="165"/>
      <c r="I28" s="14"/>
      <c r="J28"/>
    </row>
    <row r="29" spans="1:10" ht="12.75">
      <c r="A29" s="49"/>
      <c r="B29" s="215"/>
      <c r="C29" s="216"/>
      <c r="D29" s="217" t="s">
        <v>109</v>
      </c>
      <c r="E29" s="290">
        <v>0</v>
      </c>
      <c r="F29" s="210" t="s">
        <v>113</v>
      </c>
      <c r="G29" s="180"/>
      <c r="H29" s="165"/>
      <c r="I29" s="14"/>
      <c r="J29"/>
    </row>
    <row r="30" spans="1:10" ht="12.75">
      <c r="A30" s="49"/>
      <c r="B30" s="206" t="s">
        <v>91</v>
      </c>
      <c r="C30" s="207"/>
      <c r="D30" s="208"/>
      <c r="E30" s="7"/>
      <c r="F30" s="127"/>
      <c r="G30" s="209">
        <f>F28-C28+1</f>
        <v>4</v>
      </c>
      <c r="H30" s="17"/>
      <c r="I30" s="14"/>
      <c r="J30" s="14"/>
    </row>
    <row r="31" spans="1:10" ht="13.5" thickBot="1">
      <c r="A31" s="49"/>
      <c r="B31" s="55" t="s">
        <v>160</v>
      </c>
      <c r="C31" s="56"/>
      <c r="D31" s="109"/>
      <c r="E31" s="11"/>
      <c r="F31" s="132"/>
      <c r="G31" s="588">
        <f>SUM(B37:B49)</f>
        <v>0</v>
      </c>
      <c r="H31" s="17"/>
      <c r="I31" s="14"/>
      <c r="J31" s="14"/>
    </row>
    <row r="32" spans="1:10" ht="13.5" thickBot="1">
      <c r="A32" s="49"/>
      <c r="B32" s="27" t="str">
        <f>IF(OR(SUM(B37:B$50)&lt;90,SUM(B37:B$50)&gt;110),"        WARNING !!!  SEE  MESSAGES. "," ")</f>
        <v>        WARNING !!!  SEE  MESSAGES. </v>
      </c>
      <c r="C32" s="57"/>
      <c r="D32" s="57"/>
      <c r="E32" s="57"/>
      <c r="F32" s="22"/>
      <c r="G32" s="22"/>
      <c r="H32" s="38"/>
      <c r="I32" s="14"/>
      <c r="J32" s="14"/>
    </row>
    <row r="33" spans="1:8" ht="12.75">
      <c r="A33" s="49"/>
      <c r="B33" s="28" t="s">
        <v>23</v>
      </c>
      <c r="C33" s="13" t="s">
        <v>44</v>
      </c>
      <c r="D33" s="8"/>
      <c r="E33" s="107" t="s">
        <v>131</v>
      </c>
      <c r="F33" s="264"/>
      <c r="G33" s="107" t="s">
        <v>133</v>
      </c>
      <c r="H33" s="343"/>
    </row>
    <row r="34" spans="1:8" ht="12.75">
      <c r="A34" s="49"/>
      <c r="B34" s="261"/>
      <c r="C34" s="262"/>
      <c r="D34" s="263"/>
      <c r="E34" s="265" t="s">
        <v>132</v>
      </c>
      <c r="F34" s="266"/>
      <c r="G34" s="279" t="s">
        <v>135</v>
      </c>
      <c r="H34" s="344"/>
    </row>
    <row r="35" spans="1:8" ht="13.5" thickBot="1">
      <c r="A35" s="49"/>
      <c r="B35" s="60"/>
      <c r="C35" s="12" t="s">
        <v>0</v>
      </c>
      <c r="D35" s="12" t="s">
        <v>1</v>
      </c>
      <c r="E35" s="12" t="s">
        <v>24</v>
      </c>
      <c r="F35" s="110" t="s">
        <v>25</v>
      </c>
      <c r="G35" s="12" t="s">
        <v>24</v>
      </c>
      <c r="H35" s="345" t="s">
        <v>25</v>
      </c>
    </row>
    <row r="36" spans="1:8" ht="12.75">
      <c r="A36" s="49"/>
      <c r="B36" s="29" t="s">
        <v>35</v>
      </c>
      <c r="C36" s="7"/>
      <c r="D36" s="7"/>
      <c r="E36" s="7"/>
      <c r="F36" s="91"/>
      <c r="G36" s="7"/>
      <c r="H36" s="6"/>
    </row>
    <row r="37" spans="1:8" ht="12.75">
      <c r="A37" s="61" t="str">
        <f aca="true" t="shared" si="0" ref="A37:A49">IF(OR($C37&lt;$C$28,$C37&gt;$F$28,$G$31&lt;G$30)," ",B37)</f>
        <v> </v>
      </c>
      <c r="B37" s="277"/>
      <c r="C37" s="152">
        <v>12</v>
      </c>
      <c r="D37" s="283" t="str">
        <f>IF(OR(C37&lt;$C$28,C37&gt;$F$28)," ",10*(C37-C$28)/(F$28-C$28))</f>
        <v> </v>
      </c>
      <c r="E37" s="284" t="str">
        <f aca="true" t="shared" si="1" ref="E37:E49">IF(OR(C37&lt;$C$28,C37&gt;$F$28,$G$31&lt;0.5),"  ",100*B37/(($B$52-$B$50)))</f>
        <v>  </v>
      </c>
      <c r="F37" s="93" t="str">
        <f aca="true" t="shared" si="2" ref="F37:F49">IF(OR(C37&lt;$C$28,C37&gt;$F$28,$G$31&lt;0.5),"  ",ROUND(E37,0))</f>
        <v>  </v>
      </c>
      <c r="G37" s="92" t="str">
        <f aca="true" t="shared" si="3" ref="G37:G49">IF(OR(C37&lt;$C$28,C37&gt;$F$28,$G$21&lt;0.5),"  ",E37*$G$24/100)</f>
        <v>  </v>
      </c>
      <c r="H37" s="346" t="str">
        <f aca="true" t="shared" si="4" ref="H37:H49">IF(OR(C37&lt;$C$28,C37&gt;$F$28,$G$21&lt;0.5),"  ",ROUND(G37,0))</f>
        <v>  </v>
      </c>
    </row>
    <row r="38" spans="1:8" ht="12.75">
      <c r="A38" s="61" t="str">
        <f t="shared" si="0"/>
        <v> </v>
      </c>
      <c r="B38" s="277"/>
      <c r="C38" s="152">
        <v>11</v>
      </c>
      <c r="D38" s="283" t="str">
        <f aca="true" t="shared" si="5" ref="D38:D49">IF(OR(C38&lt;C$28,C38&gt;F$28)," ",10*(C38-C$28)/(F$28-C$28))</f>
        <v> </v>
      </c>
      <c r="E38" s="284" t="str">
        <f t="shared" si="1"/>
        <v>  </v>
      </c>
      <c r="F38" s="93" t="str">
        <f t="shared" si="2"/>
        <v>  </v>
      </c>
      <c r="G38" s="92" t="str">
        <f t="shared" si="3"/>
        <v>  </v>
      </c>
      <c r="H38" s="346" t="str">
        <f t="shared" si="4"/>
        <v>  </v>
      </c>
    </row>
    <row r="39" spans="1:8" ht="12.75">
      <c r="A39" s="61" t="str">
        <f t="shared" si="0"/>
        <v> </v>
      </c>
      <c r="B39" s="277"/>
      <c r="C39" s="152">
        <v>10</v>
      </c>
      <c r="D39" s="283" t="str">
        <f t="shared" si="5"/>
        <v> </v>
      </c>
      <c r="E39" s="284" t="str">
        <f t="shared" si="1"/>
        <v>  </v>
      </c>
      <c r="F39" s="93" t="str">
        <f t="shared" si="2"/>
        <v>  </v>
      </c>
      <c r="G39" s="92" t="str">
        <f t="shared" si="3"/>
        <v>  </v>
      </c>
      <c r="H39" s="346" t="str">
        <f t="shared" si="4"/>
        <v>  </v>
      </c>
    </row>
    <row r="40" spans="1:8" ht="12.75">
      <c r="A40" s="61" t="str">
        <f t="shared" si="0"/>
        <v> </v>
      </c>
      <c r="B40" s="277"/>
      <c r="C40" s="152">
        <v>9</v>
      </c>
      <c r="D40" s="283" t="str">
        <f t="shared" si="5"/>
        <v> </v>
      </c>
      <c r="E40" s="284" t="str">
        <f t="shared" si="1"/>
        <v>  </v>
      </c>
      <c r="F40" s="93" t="str">
        <f t="shared" si="2"/>
        <v>  </v>
      </c>
      <c r="G40" s="92" t="str">
        <f t="shared" si="3"/>
        <v>  </v>
      </c>
      <c r="H40" s="346" t="str">
        <f t="shared" si="4"/>
        <v>  </v>
      </c>
    </row>
    <row r="41" spans="1:8" ht="12.75">
      <c r="A41" s="61" t="str">
        <f t="shared" si="0"/>
        <v> </v>
      </c>
      <c r="B41" s="277"/>
      <c r="C41" s="152">
        <v>8</v>
      </c>
      <c r="D41" s="283" t="str">
        <f t="shared" si="5"/>
        <v> </v>
      </c>
      <c r="E41" s="284" t="str">
        <f t="shared" si="1"/>
        <v>  </v>
      </c>
      <c r="F41" s="93" t="str">
        <f t="shared" si="2"/>
        <v>  </v>
      </c>
      <c r="G41" s="92" t="str">
        <f t="shared" si="3"/>
        <v>  </v>
      </c>
      <c r="H41" s="346" t="str">
        <f t="shared" si="4"/>
        <v>  </v>
      </c>
    </row>
    <row r="42" spans="1:8" ht="12.75">
      <c r="A42" s="61" t="str">
        <f t="shared" si="0"/>
        <v> </v>
      </c>
      <c r="B42" s="277"/>
      <c r="C42" s="152">
        <v>7</v>
      </c>
      <c r="D42" s="283" t="str">
        <f t="shared" si="5"/>
        <v> </v>
      </c>
      <c r="E42" s="284" t="str">
        <f t="shared" si="1"/>
        <v>  </v>
      </c>
      <c r="F42" s="93" t="str">
        <f t="shared" si="2"/>
        <v>  </v>
      </c>
      <c r="G42" s="92" t="str">
        <f t="shared" si="3"/>
        <v>  </v>
      </c>
      <c r="H42" s="346" t="str">
        <f t="shared" si="4"/>
        <v>  </v>
      </c>
    </row>
    <row r="43" spans="1:8" ht="12.75">
      <c r="A43" s="61" t="str">
        <f t="shared" si="0"/>
        <v> </v>
      </c>
      <c r="B43" s="277"/>
      <c r="C43" s="152">
        <v>6</v>
      </c>
      <c r="D43" s="283" t="str">
        <f t="shared" si="5"/>
        <v> </v>
      </c>
      <c r="E43" s="284" t="str">
        <f t="shared" si="1"/>
        <v>  </v>
      </c>
      <c r="F43" s="93" t="str">
        <f t="shared" si="2"/>
        <v>  </v>
      </c>
      <c r="G43" s="92" t="str">
        <f t="shared" si="3"/>
        <v>  </v>
      </c>
      <c r="H43" s="346" t="str">
        <f t="shared" si="4"/>
        <v>  </v>
      </c>
    </row>
    <row r="44" spans="1:8" ht="12.75">
      <c r="A44" s="61" t="str">
        <f t="shared" si="0"/>
        <v> </v>
      </c>
      <c r="B44" s="277"/>
      <c r="C44" s="152">
        <v>5</v>
      </c>
      <c r="D44" s="283" t="str">
        <f t="shared" si="5"/>
        <v> </v>
      </c>
      <c r="E44" s="284" t="str">
        <f t="shared" si="1"/>
        <v>  </v>
      </c>
      <c r="F44" s="93" t="str">
        <f t="shared" si="2"/>
        <v>  </v>
      </c>
      <c r="G44" s="92" t="str">
        <f t="shared" si="3"/>
        <v>  </v>
      </c>
      <c r="H44" s="346" t="str">
        <f t="shared" si="4"/>
        <v>  </v>
      </c>
    </row>
    <row r="45" spans="1:8" ht="12.75">
      <c r="A45" s="61" t="str">
        <f t="shared" si="0"/>
        <v> </v>
      </c>
      <c r="B45" s="277" t="s">
        <v>180</v>
      </c>
      <c r="C45" s="152">
        <v>4</v>
      </c>
      <c r="D45" s="283">
        <f t="shared" si="5"/>
        <v>10</v>
      </c>
      <c r="E45" s="284" t="str">
        <f t="shared" si="1"/>
        <v>  </v>
      </c>
      <c r="F45" s="93" t="str">
        <f>IF(OR(C45&lt;$C$28,C45&gt;$F$28,$G$31&lt;0.5),"  ",ROUND(E45,0))</f>
        <v>  </v>
      </c>
      <c r="G45" s="92" t="e">
        <f t="shared" si="3"/>
        <v>#VALUE!</v>
      </c>
      <c r="H45" s="346" t="e">
        <f>IF(OR(C45&lt;$C$28,C45&gt;$F$28,$G$21&lt;0.5),"  ",ROUND(G45,0))</f>
        <v>#VALUE!</v>
      </c>
    </row>
    <row r="46" spans="1:8" ht="12.75">
      <c r="A46" s="61" t="str">
        <f t="shared" si="0"/>
        <v> </v>
      </c>
      <c r="B46" s="277" t="s">
        <v>181</v>
      </c>
      <c r="C46" s="152">
        <v>3</v>
      </c>
      <c r="D46" s="283">
        <f t="shared" si="5"/>
        <v>6.666666666666667</v>
      </c>
      <c r="E46" s="284" t="str">
        <f t="shared" si="1"/>
        <v>  </v>
      </c>
      <c r="F46" s="93" t="str">
        <f t="shared" si="2"/>
        <v>  </v>
      </c>
      <c r="G46" s="92" t="e">
        <f t="shared" si="3"/>
        <v>#VALUE!</v>
      </c>
      <c r="H46" s="346" t="e">
        <f t="shared" si="4"/>
        <v>#VALUE!</v>
      </c>
    </row>
    <row r="47" spans="1:8" ht="12.75">
      <c r="A47" s="61" t="str">
        <f t="shared" si="0"/>
        <v> </v>
      </c>
      <c r="B47" s="277" t="s">
        <v>182</v>
      </c>
      <c r="C47" s="152">
        <v>2</v>
      </c>
      <c r="D47" s="283">
        <f t="shared" si="5"/>
        <v>3.3333333333333335</v>
      </c>
      <c r="E47" s="284" t="str">
        <f t="shared" si="1"/>
        <v>  </v>
      </c>
      <c r="F47" s="93" t="str">
        <f t="shared" si="2"/>
        <v>  </v>
      </c>
      <c r="G47" s="92" t="e">
        <f t="shared" si="3"/>
        <v>#VALUE!</v>
      </c>
      <c r="H47" s="346" t="e">
        <f t="shared" si="4"/>
        <v>#VALUE!</v>
      </c>
    </row>
    <row r="48" spans="1:8" ht="12.75">
      <c r="A48" s="61" t="str">
        <f t="shared" si="0"/>
        <v> </v>
      </c>
      <c r="B48" s="277" t="s">
        <v>183</v>
      </c>
      <c r="C48" s="152">
        <v>1</v>
      </c>
      <c r="D48" s="283">
        <f t="shared" si="5"/>
        <v>0</v>
      </c>
      <c r="E48" s="284" t="str">
        <f t="shared" si="1"/>
        <v>  </v>
      </c>
      <c r="F48" s="93" t="str">
        <f t="shared" si="2"/>
        <v>  </v>
      </c>
      <c r="G48" s="92" t="e">
        <f t="shared" si="3"/>
        <v>#VALUE!</v>
      </c>
      <c r="H48" s="346" t="e">
        <f t="shared" si="4"/>
        <v>#VALUE!</v>
      </c>
    </row>
    <row r="49" spans="1:8" ht="13.5" thickBot="1">
      <c r="A49" s="61" t="str">
        <f t="shared" si="0"/>
        <v> </v>
      </c>
      <c r="B49" s="278"/>
      <c r="C49" s="153">
        <v>0</v>
      </c>
      <c r="D49" s="285" t="str">
        <f t="shared" si="5"/>
        <v> </v>
      </c>
      <c r="E49" s="284" t="str">
        <f t="shared" si="1"/>
        <v>  </v>
      </c>
      <c r="F49" s="93" t="str">
        <f t="shared" si="2"/>
        <v>  </v>
      </c>
      <c r="G49" s="92" t="str">
        <f t="shared" si="3"/>
        <v>  </v>
      </c>
      <c r="H49" s="346" t="str">
        <f t="shared" si="4"/>
        <v>  </v>
      </c>
    </row>
    <row r="50" spans="1:8" ht="12.75">
      <c r="A50" s="61"/>
      <c r="B50" s="288">
        <f>IF(G21&lt;0.5," ",MAX(G22,100*G23/G21))</f>
        <v>0</v>
      </c>
      <c r="C50" s="259" t="s">
        <v>120</v>
      </c>
      <c r="D50" s="286"/>
      <c r="E50" s="287"/>
      <c r="F50" s="254"/>
      <c r="G50" s="260"/>
      <c r="H50" s="347"/>
    </row>
    <row r="51" spans="1:8" ht="13.5" thickBot="1">
      <c r="A51" s="61"/>
      <c r="B51" s="289" t="s">
        <v>121</v>
      </c>
      <c r="C51" s="258"/>
      <c r="D51" s="255"/>
      <c r="E51" s="256"/>
      <c r="F51" s="257"/>
      <c r="G51" s="256"/>
      <c r="H51" s="348"/>
    </row>
    <row r="52" spans="1:8" ht="13.5" thickBot="1">
      <c r="A52" s="61"/>
      <c r="B52" s="294">
        <f>SUM(B37:B50)</f>
        <v>0</v>
      </c>
      <c r="C52" s="15"/>
      <c r="D52" s="251" t="s">
        <v>26</v>
      </c>
      <c r="E52" s="252">
        <f>SUM(E37:E49)</f>
        <v>0</v>
      </c>
      <c r="F52" s="253">
        <f>SUM(F37:F49)</f>
        <v>0</v>
      </c>
      <c r="G52" s="252" t="e">
        <f>SUM(G37:G49)</f>
        <v>#VALUE!</v>
      </c>
      <c r="H52" s="349" t="e">
        <f>SUM(H37:H49)</f>
        <v>#VALUE!</v>
      </c>
    </row>
    <row r="53" spans="1:8" ht="12.75">
      <c r="A53" s="145" t="s">
        <v>73</v>
      </c>
      <c r="B53" s="141"/>
      <c r="C53" s="139"/>
      <c r="D53" s="142"/>
      <c r="E53" s="140"/>
      <c r="F53" s="143"/>
      <c r="G53" s="139"/>
      <c r="H53" s="144"/>
    </row>
    <row r="54" spans="1:10" ht="12.75">
      <c r="A54" s="61"/>
      <c r="B54" s="94"/>
      <c r="C54" s="15"/>
      <c r="D54" s="101"/>
      <c r="E54" s="62"/>
      <c r="F54" s="64"/>
      <c r="G54" s="15"/>
      <c r="H54" s="135"/>
      <c r="J54"/>
    </row>
    <row r="55" spans="1:9" ht="13.5" thickBot="1">
      <c r="A55" s="53" t="s">
        <v>29</v>
      </c>
      <c r="B55" s="70"/>
      <c r="C55" s="70"/>
      <c r="D55" s="70"/>
      <c r="E55" s="71"/>
      <c r="F55" s="101"/>
      <c r="G55" s="15"/>
      <c r="H55" s="102"/>
      <c r="I55" s="14"/>
    </row>
    <row r="56" spans="1:9" ht="12.75">
      <c r="A56" s="69"/>
      <c r="B56" s="70"/>
      <c r="C56" s="146" t="s">
        <v>30</v>
      </c>
      <c r="D56" s="138" t="str">
        <f>IF(OR(SUM(B37:B$50)&lt;90,SUM(B37:B$50)&gt;110),"OUTPUT  UNRELIABLE"," ")</f>
        <v>OUTPUT  UNRELIABLE</v>
      </c>
      <c r="E56" s="175"/>
      <c r="F56" s="227" t="s">
        <v>30</v>
      </c>
      <c r="G56" s="15"/>
      <c r="H56" s="102"/>
      <c r="I56" s="14"/>
    </row>
    <row r="57" spans="1:9" ht="12.75">
      <c r="A57" s="69"/>
      <c r="B57" s="70"/>
      <c r="C57" s="128" t="s">
        <v>31</v>
      </c>
      <c r="D57" s="134" t="s">
        <v>141</v>
      </c>
      <c r="E57" s="228"/>
      <c r="F57" s="229" t="s">
        <v>60</v>
      </c>
      <c r="G57" s="15"/>
      <c r="H57" s="276">
        <f>SUM(H59:H71)</f>
        <v>0</v>
      </c>
      <c r="I57" s="14"/>
    </row>
    <row r="58" spans="1:9" ht="13.5" thickBot="1">
      <c r="A58" s="69"/>
      <c r="B58" s="70"/>
      <c r="C58" s="131" t="s">
        <v>32</v>
      </c>
      <c r="D58" s="281" t="s">
        <v>142</v>
      </c>
      <c r="E58" s="230"/>
      <c r="F58" s="231" t="s">
        <v>32</v>
      </c>
      <c r="G58" s="15"/>
      <c r="H58" s="102"/>
      <c r="I58" s="14"/>
    </row>
    <row r="59" spans="1:9" ht="12.75">
      <c r="A59" s="69"/>
      <c r="B59" s="70"/>
      <c r="C59" s="129" t="str">
        <f aca="true" t="shared" si="6" ref="C59:C71">IF(OR(C37&lt;$C$28,C37&gt;$F$28,$E$29=1)," ",C37)</f>
        <v> </v>
      </c>
      <c r="D59" s="106" t="str">
        <f aca="true" t="shared" si="7" ref="D59:D71">IF(OR($C37&lt;$C$28,$C37&gt;$F$28,$G$31&lt;$G$30,AND($G$21&gt;600,$H$57&gt;0.015))," ",IF($E37&gt;0.5,$E37,"&lt; 1"))</f>
        <v> </v>
      </c>
      <c r="E59" s="190" t="str">
        <f aca="true" t="shared" si="8" ref="E59:E71">IF(OR($C37&lt;$C$28,$C37&gt;$F$28,$G$31&lt;$G$30,$G$21&lt;601,$H$57&lt;0.02)," ",IF($E37&gt;0.05,$E37," &lt; 0,1"))</f>
        <v> </v>
      </c>
      <c r="F59" s="232" t="str">
        <f aca="true" t="shared" si="9" ref="F59:F71">IF(OR(C37&lt;$C$28,C37&gt;$F$28,$E$29=0)," ",F$28+C$28-C37)</f>
        <v> </v>
      </c>
      <c r="G59" s="15"/>
      <c r="H59" s="136" t="str">
        <f aca="true" t="shared" si="10" ref="H59:H71">IF(OR($C37&lt;$C$28,$C37&gt;$F$28,SUM($G$31,$B$50)&lt;90)," ",(B37-TRUNC(B37))*(B37-TRUNC(B37)))</f>
        <v> </v>
      </c>
      <c r="I59" s="14"/>
    </row>
    <row r="60" spans="1:9" ht="12.75">
      <c r="A60" s="69"/>
      <c r="B60" s="70"/>
      <c r="C60" s="130" t="str">
        <f t="shared" si="6"/>
        <v> </v>
      </c>
      <c r="D60" s="105" t="str">
        <f t="shared" si="7"/>
        <v> </v>
      </c>
      <c r="E60" s="191" t="str">
        <f t="shared" si="8"/>
        <v> </v>
      </c>
      <c r="F60" s="233" t="str">
        <f t="shared" si="9"/>
        <v> </v>
      </c>
      <c r="G60" s="15"/>
      <c r="H60" s="136" t="str">
        <f t="shared" si="10"/>
        <v> </v>
      </c>
      <c r="I60" s="14"/>
    </row>
    <row r="61" spans="1:9" ht="12.75">
      <c r="A61" s="69"/>
      <c r="B61" s="70"/>
      <c r="C61" s="130" t="str">
        <f t="shared" si="6"/>
        <v> </v>
      </c>
      <c r="D61" s="105" t="str">
        <f t="shared" si="7"/>
        <v> </v>
      </c>
      <c r="E61" s="191" t="str">
        <f t="shared" si="8"/>
        <v> </v>
      </c>
      <c r="F61" s="233" t="str">
        <f t="shared" si="9"/>
        <v> </v>
      </c>
      <c r="G61" s="15"/>
      <c r="H61" s="136" t="str">
        <f t="shared" si="10"/>
        <v> </v>
      </c>
      <c r="I61" s="14"/>
    </row>
    <row r="62" spans="1:9" ht="12.75">
      <c r="A62" s="69"/>
      <c r="B62" s="70"/>
      <c r="C62" s="130" t="str">
        <f t="shared" si="6"/>
        <v> </v>
      </c>
      <c r="D62" s="105" t="str">
        <f t="shared" si="7"/>
        <v> </v>
      </c>
      <c r="E62" s="191" t="str">
        <f t="shared" si="8"/>
        <v> </v>
      </c>
      <c r="F62" s="233" t="str">
        <f t="shared" si="9"/>
        <v> </v>
      </c>
      <c r="G62" s="15"/>
      <c r="H62" s="136" t="str">
        <f t="shared" si="10"/>
        <v> </v>
      </c>
      <c r="I62" s="14"/>
    </row>
    <row r="63" spans="1:9" ht="12.75">
      <c r="A63" s="69"/>
      <c r="B63" s="70"/>
      <c r="C63" s="130" t="str">
        <f t="shared" si="6"/>
        <v> </v>
      </c>
      <c r="D63" s="105" t="str">
        <f t="shared" si="7"/>
        <v> </v>
      </c>
      <c r="E63" s="191" t="str">
        <f t="shared" si="8"/>
        <v> </v>
      </c>
      <c r="F63" s="233" t="str">
        <f t="shared" si="9"/>
        <v> </v>
      </c>
      <c r="G63" s="15"/>
      <c r="H63" s="136" t="str">
        <f t="shared" si="10"/>
        <v> </v>
      </c>
      <c r="I63" s="14"/>
    </row>
    <row r="64" spans="1:9" ht="12.75">
      <c r="A64" s="69"/>
      <c r="B64" s="70"/>
      <c r="C64" s="130" t="str">
        <f t="shared" si="6"/>
        <v> </v>
      </c>
      <c r="D64" s="105" t="str">
        <f t="shared" si="7"/>
        <v> </v>
      </c>
      <c r="E64" s="191" t="str">
        <f t="shared" si="8"/>
        <v> </v>
      </c>
      <c r="F64" s="233" t="str">
        <f t="shared" si="9"/>
        <v> </v>
      </c>
      <c r="G64" s="15"/>
      <c r="H64" s="136" t="str">
        <f t="shared" si="10"/>
        <v> </v>
      </c>
      <c r="I64" s="14"/>
    </row>
    <row r="65" spans="1:10" ht="12.75">
      <c r="A65" s="69"/>
      <c r="B65" s="70"/>
      <c r="C65" s="130" t="str">
        <f t="shared" si="6"/>
        <v> </v>
      </c>
      <c r="D65" s="105" t="str">
        <f t="shared" si="7"/>
        <v> </v>
      </c>
      <c r="E65" s="191" t="str">
        <f t="shared" si="8"/>
        <v> </v>
      </c>
      <c r="F65" s="233" t="str">
        <f t="shared" si="9"/>
        <v> </v>
      </c>
      <c r="G65" s="15"/>
      <c r="H65" s="136" t="str">
        <f t="shared" si="10"/>
        <v> </v>
      </c>
      <c r="I65" s="14"/>
      <c r="J65" s="280"/>
    </row>
    <row r="66" spans="1:9" ht="12.75">
      <c r="A66" s="69"/>
      <c r="B66" s="70"/>
      <c r="C66" s="130" t="str">
        <f t="shared" si="6"/>
        <v> </v>
      </c>
      <c r="D66" s="105" t="str">
        <f t="shared" si="7"/>
        <v> </v>
      </c>
      <c r="E66" s="191" t="str">
        <f t="shared" si="8"/>
        <v> </v>
      </c>
      <c r="F66" s="233" t="str">
        <f t="shared" si="9"/>
        <v> </v>
      </c>
      <c r="G66" s="15"/>
      <c r="H66" s="136" t="str">
        <f t="shared" si="10"/>
        <v> </v>
      </c>
      <c r="I66" s="14"/>
    </row>
    <row r="67" spans="1:9" ht="12.75">
      <c r="A67" s="69"/>
      <c r="B67" s="70"/>
      <c r="C67" s="130">
        <f t="shared" si="6"/>
        <v>4</v>
      </c>
      <c r="D67" s="105" t="str">
        <f t="shared" si="7"/>
        <v> </v>
      </c>
      <c r="E67" s="191" t="str">
        <f t="shared" si="8"/>
        <v> </v>
      </c>
      <c r="F67" s="233" t="str">
        <f t="shared" si="9"/>
        <v> </v>
      </c>
      <c r="G67" s="15"/>
      <c r="H67" s="136" t="str">
        <f t="shared" si="10"/>
        <v> </v>
      </c>
      <c r="I67" s="14"/>
    </row>
    <row r="68" spans="1:9" ht="12.75">
      <c r="A68" s="151" t="s">
        <v>138</v>
      </c>
      <c r="B68" s="70"/>
      <c r="C68" s="130">
        <f t="shared" si="6"/>
        <v>3</v>
      </c>
      <c r="D68" s="105" t="str">
        <f t="shared" si="7"/>
        <v> </v>
      </c>
      <c r="E68" s="191" t="str">
        <f t="shared" si="8"/>
        <v> </v>
      </c>
      <c r="F68" s="233" t="str">
        <f t="shared" si="9"/>
        <v> </v>
      </c>
      <c r="G68" s="15"/>
      <c r="H68" s="136" t="str">
        <f t="shared" si="10"/>
        <v> </v>
      </c>
      <c r="I68" s="14"/>
    </row>
    <row r="69" spans="1:9" ht="12.75">
      <c r="A69" s="49" t="s">
        <v>139</v>
      </c>
      <c r="B69" s="70"/>
      <c r="C69" s="130">
        <f t="shared" si="6"/>
        <v>2</v>
      </c>
      <c r="D69" s="105" t="str">
        <f t="shared" si="7"/>
        <v> </v>
      </c>
      <c r="E69" s="191" t="str">
        <f t="shared" si="8"/>
        <v> </v>
      </c>
      <c r="F69" s="233" t="str">
        <f t="shared" si="9"/>
        <v> </v>
      </c>
      <c r="G69" s="15"/>
      <c r="H69" s="136" t="str">
        <f t="shared" si="10"/>
        <v> </v>
      </c>
      <c r="I69" s="14"/>
    </row>
    <row r="70" spans="1:18" ht="12.75">
      <c r="A70" s="49" t="s">
        <v>140</v>
      </c>
      <c r="B70" s="70"/>
      <c r="C70" s="130">
        <f t="shared" si="6"/>
        <v>1</v>
      </c>
      <c r="D70" s="105" t="str">
        <f t="shared" si="7"/>
        <v> </v>
      </c>
      <c r="E70" s="191" t="str">
        <f t="shared" si="8"/>
        <v> </v>
      </c>
      <c r="F70" s="233" t="str">
        <f t="shared" si="9"/>
        <v> </v>
      </c>
      <c r="G70" s="15"/>
      <c r="H70" s="136" t="str">
        <f t="shared" si="10"/>
        <v> </v>
      </c>
      <c r="I70" s="14"/>
      <c r="O70"/>
      <c r="P70"/>
      <c r="Q70"/>
      <c r="R70"/>
    </row>
    <row r="71" spans="1:18" ht="13.5" thickBot="1">
      <c r="A71" s="350"/>
      <c r="B71" s="282">
        <f>MAX((SUM(D59:D71)),SUM(E59:E71))</f>
        <v>0</v>
      </c>
      <c r="C71" s="133" t="str">
        <f t="shared" si="6"/>
        <v> </v>
      </c>
      <c r="D71" s="105" t="str">
        <f t="shared" si="7"/>
        <v> </v>
      </c>
      <c r="E71" s="191" t="str">
        <f t="shared" si="8"/>
        <v> </v>
      </c>
      <c r="F71" s="187" t="str">
        <f t="shared" si="9"/>
        <v> </v>
      </c>
      <c r="G71" s="35"/>
      <c r="H71" s="136" t="str">
        <f t="shared" si="10"/>
        <v> </v>
      </c>
      <c r="I71" s="14"/>
      <c r="O71"/>
      <c r="P71"/>
      <c r="Q71"/>
      <c r="R71"/>
    </row>
    <row r="72" spans="1:18" ht="12.75">
      <c r="A72" s="218" t="s">
        <v>110</v>
      </c>
      <c r="B72" s="3"/>
      <c r="C72" s="211" t="s">
        <v>111</v>
      </c>
      <c r="D72" s="3"/>
      <c r="E72" s="3"/>
      <c r="F72" s="3"/>
      <c r="G72" s="3"/>
      <c r="H72" s="144"/>
      <c r="O72"/>
      <c r="P72"/>
      <c r="Q72"/>
      <c r="R72"/>
    </row>
    <row r="73" spans="1:18" ht="13.5" thickBot="1">
      <c r="A73" s="114"/>
      <c r="B73" s="3"/>
      <c r="C73" s="3"/>
      <c r="D73" s="3"/>
      <c r="E73" s="3"/>
      <c r="F73" s="244"/>
      <c r="G73" s="244"/>
      <c r="H73" s="245">
        <f>IF(E29=1,"REVERSED SCALE STATISTICS !   ","")</f>
      </c>
      <c r="O73"/>
      <c r="P73"/>
      <c r="Q73"/>
      <c r="R73"/>
    </row>
    <row r="74" spans="1:18" ht="12.75">
      <c r="A74" s="53"/>
      <c r="B74" s="65"/>
      <c r="C74" s="65"/>
      <c r="D74" s="65"/>
      <c r="E74" s="7"/>
      <c r="F74" s="85" t="s">
        <v>8</v>
      </c>
      <c r="G74" s="67"/>
      <c r="H74" s="336" t="s">
        <v>10</v>
      </c>
      <c r="O74"/>
      <c r="P74"/>
      <c r="Q74"/>
      <c r="R74"/>
    </row>
    <row r="75" spans="1:18" ht="13.5" thickBot="1">
      <c r="A75" s="90"/>
      <c r="B75" s="27" t="str">
        <f>IF(OR(SUM(B37:B$50)&lt;90,SUM(B37:B$50)&gt;110),"OUTPUT MIGHT BE UNRELIABLE"," ")</f>
        <v>OUTPUT MIGHT BE UNRELIABLE</v>
      </c>
      <c r="C75" s="65"/>
      <c r="D75" s="65"/>
      <c r="E75" s="7"/>
      <c r="F75" s="157" t="s">
        <v>9</v>
      </c>
      <c r="G75" s="7"/>
      <c r="H75" s="68" t="s">
        <v>152</v>
      </c>
      <c r="O75"/>
      <c r="P75"/>
      <c r="Q75"/>
      <c r="R75"/>
    </row>
    <row r="76" spans="1:18" ht="13.5" thickTop="1">
      <c r="A76" s="114"/>
      <c r="B76" s="70"/>
      <c r="C76" s="70"/>
      <c r="D76" s="70"/>
      <c r="E76" s="71" t="s">
        <v>11</v>
      </c>
      <c r="F76" s="36" t="str">
        <f>IF($G$31&lt;G30,"     ",IF($E$29=1,F115,F107))</f>
        <v>     </v>
      </c>
      <c r="G76" s="15"/>
      <c r="H76" s="42" t="str">
        <f>IF($G$31&lt;I30,"     ",IF($E$29=1,H115,H107))</f>
        <v>     </v>
      </c>
      <c r="O76"/>
      <c r="P76"/>
      <c r="Q76"/>
      <c r="R76"/>
    </row>
    <row r="77" spans="1:18" ht="12.75">
      <c r="A77" s="114"/>
      <c r="B77" s="70"/>
      <c r="C77" s="70"/>
      <c r="D77" s="70"/>
      <c r="E77" s="103" t="s">
        <v>143</v>
      </c>
      <c r="F77" s="33" t="e">
        <f>IF($G$110=0,"      ",F81/(SQRT(G24)))</f>
        <v>#VALUE!</v>
      </c>
      <c r="G77" s="302"/>
      <c r="H77" s="43" t="e">
        <f>IF($G$110=0,"      ",H81/(SQRT(G24)))</f>
        <v>#VALUE!</v>
      </c>
      <c r="O77"/>
      <c r="P77"/>
      <c r="Q77"/>
      <c r="R77"/>
    </row>
    <row r="78" spans="1:18" ht="12.75">
      <c r="A78" s="69"/>
      <c r="B78" s="70"/>
      <c r="C78" s="70"/>
      <c r="D78" s="70"/>
      <c r="E78" s="71" t="s">
        <v>49</v>
      </c>
      <c r="F78" s="36" t="e">
        <f>IF($G$31&lt;G31,"     ",IF($E$29=1,F116,F108))</f>
        <v>#VALUE!</v>
      </c>
      <c r="G78" s="15"/>
      <c r="H78" s="42" t="e">
        <f>IF($G$31&lt;I31,"     ",IF($E$29=1,H116,H108))</f>
        <v>#VALUE!</v>
      </c>
      <c r="O78"/>
      <c r="P78"/>
      <c r="Q78"/>
      <c r="R78"/>
    </row>
    <row r="79" spans="1:18" ht="12.75">
      <c r="A79" s="69"/>
      <c r="B79" s="70"/>
      <c r="C79" s="70"/>
      <c r="D79" s="70"/>
      <c r="E79" s="71" t="s">
        <v>50</v>
      </c>
      <c r="F79" s="36" t="e">
        <f>IF($G$31&lt;G32,"     ",IF($E$29=1,F117,F109))</f>
        <v>#VALUE!</v>
      </c>
      <c r="G79" s="15"/>
      <c r="H79" s="42" t="e">
        <f>IF($G$31&lt;I32,"     ",IF($E$29=1,H117,H109))</f>
        <v>#VALUE!</v>
      </c>
      <c r="O79"/>
      <c r="P79"/>
      <c r="Q79"/>
      <c r="R79"/>
    </row>
    <row r="80" spans="1:18" ht="12.75">
      <c r="A80" s="69"/>
      <c r="B80" s="70"/>
      <c r="C80" s="70"/>
      <c r="D80" s="70"/>
      <c r="E80" s="71" t="s">
        <v>172</v>
      </c>
      <c r="F80" s="33" t="str">
        <f>IF($G$31=0,"   ",F110)</f>
        <v>   </v>
      </c>
      <c r="G80" s="189">
        <f>IF(G$21&gt;1,$G$110,"")</f>
        <v>6772</v>
      </c>
      <c r="H80" s="43" t="str">
        <f>IF($G$31=0,"   ",H110)</f>
        <v>   </v>
      </c>
      <c r="J80" s="200"/>
      <c r="O80"/>
      <c r="P80"/>
      <c r="Q80"/>
      <c r="R80"/>
    </row>
    <row r="81" spans="1:18" ht="13.5" thickBot="1">
      <c r="A81" s="72"/>
      <c r="B81" s="73"/>
      <c r="C81" s="73"/>
      <c r="D81" s="73"/>
      <c r="E81" s="104" t="s">
        <v>46</v>
      </c>
      <c r="F81" s="34" t="str">
        <f>IF($G$31=0,"      ",F111)</f>
        <v>      </v>
      </c>
      <c r="G81" s="155" t="str">
        <f>IF(G$21&gt;F$28,"df","")</f>
        <v>df</v>
      </c>
      <c r="H81" s="44" t="str">
        <f>IF($G$31=0,"      ",H111)</f>
        <v>      </v>
      </c>
      <c r="O81"/>
      <c r="P81"/>
      <c r="Q81"/>
      <c r="R81"/>
    </row>
    <row r="82" spans="1:18" ht="12.75">
      <c r="A82" s="111" t="s">
        <v>161</v>
      </c>
      <c r="B82" s="303"/>
      <c r="C82" s="303"/>
      <c r="D82" s="303"/>
      <c r="E82" s="304"/>
      <c r="F82" s="142"/>
      <c r="G82" s="305"/>
      <c r="H82" s="306"/>
      <c r="I82" s="3"/>
      <c r="O82"/>
      <c r="P82"/>
      <c r="Q82"/>
      <c r="R82"/>
    </row>
    <row r="83" spans="1:18" ht="12.75">
      <c r="A83" s="316"/>
      <c r="B83" s="196"/>
      <c r="C83" s="196"/>
      <c r="D83" s="314"/>
      <c r="E83" s="315" t="s">
        <v>147</v>
      </c>
      <c r="F83" s="101"/>
      <c r="G83" s="154"/>
      <c r="H83" s="137"/>
      <c r="I83" s="3"/>
      <c r="O83"/>
      <c r="P83"/>
      <c r="Q83"/>
      <c r="R83"/>
    </row>
    <row r="84" spans="1:18" ht="13.5" thickBot="1">
      <c r="A84" s="316"/>
      <c r="B84" s="196"/>
      <c r="C84" s="196"/>
      <c r="D84" s="196"/>
      <c r="E84" s="100" t="s">
        <v>144</v>
      </c>
      <c r="F84" s="248"/>
      <c r="G84" s="189" t="e">
        <f>IF(G$24&gt;99,F$85+2*9.6*H$77,"  ")</f>
        <v>#VALUE!</v>
      </c>
      <c r="H84" s="137"/>
      <c r="I84" s="3"/>
      <c r="O84"/>
      <c r="P84"/>
      <c r="Q84"/>
      <c r="R84"/>
    </row>
    <row r="85" spans="1:18" ht="16.5" thickBot="1">
      <c r="A85" s="316"/>
      <c r="B85" s="196"/>
      <c r="C85" s="196"/>
      <c r="D85" s="196"/>
      <c r="E85" s="100" t="s">
        <v>162</v>
      </c>
      <c r="F85" s="312" t="e">
        <f>IF(G$24&gt;99,9.6*H76-0.014*H81+3.96,"  ")</f>
        <v>#VALUE!</v>
      </c>
      <c r="G85" s="311"/>
      <c r="H85" s="137"/>
      <c r="I85" s="3"/>
      <c r="O85"/>
      <c r="P85"/>
      <c r="Q85"/>
      <c r="R85"/>
    </row>
    <row r="86" spans="1:18" ht="12.75">
      <c r="A86" s="316"/>
      <c r="B86" s="196"/>
      <c r="C86" s="196"/>
      <c r="D86" s="196"/>
      <c r="E86" s="100" t="s">
        <v>145</v>
      </c>
      <c r="F86" s="248"/>
      <c r="G86" s="189" t="e">
        <f>IF(G$24&gt;99,F$85-2*9.6*H$77,"  ")</f>
        <v>#VALUE!</v>
      </c>
      <c r="H86" s="137"/>
      <c r="I86" s="3"/>
      <c r="O86"/>
      <c r="P86"/>
      <c r="Q86"/>
      <c r="R86"/>
    </row>
    <row r="87" spans="1:18" ht="13.5" thickBot="1">
      <c r="A87" s="69"/>
      <c r="B87" s="196"/>
      <c r="C87" s="196"/>
      <c r="D87" s="196"/>
      <c r="E87" s="100"/>
      <c r="F87" s="101"/>
      <c r="G87" s="154"/>
      <c r="H87" s="102"/>
      <c r="I87" s="3"/>
      <c r="O87"/>
      <c r="P87"/>
      <c r="Q87"/>
      <c r="R87"/>
    </row>
    <row r="88" spans="1:18" ht="13.5" thickBot="1">
      <c r="A88" s="219"/>
      <c r="B88" s="220"/>
      <c r="C88" s="220"/>
      <c r="D88" s="220"/>
      <c r="E88" s="221"/>
      <c r="F88" s="222"/>
      <c r="G88" s="223"/>
      <c r="H88" s="224"/>
      <c r="I88" s="14"/>
      <c r="O88"/>
      <c r="P88"/>
      <c r="Q88"/>
      <c r="R88"/>
    </row>
    <row r="89" spans="1:8" ht="13.5" thickBot="1">
      <c r="A89" s="53" t="s">
        <v>27</v>
      </c>
      <c r="B89" s="97"/>
      <c r="C89" s="7"/>
      <c r="D89" s="87"/>
      <c r="E89" s="87"/>
      <c r="F89" s="7"/>
      <c r="G89" s="7"/>
      <c r="H89" s="6"/>
    </row>
    <row r="90" spans="1:8" ht="13.5" thickBot="1">
      <c r="A90" s="49"/>
      <c r="B90" s="30"/>
      <c r="C90" s="58"/>
      <c r="D90" s="58"/>
      <c r="E90" s="59" t="s">
        <v>6</v>
      </c>
      <c r="F90" s="31"/>
      <c r="G90" s="32" t="s">
        <v>7</v>
      </c>
      <c r="H90" s="39"/>
    </row>
    <row r="91" spans="1:8" ht="12.75">
      <c r="A91" s="49"/>
      <c r="B91" s="99" t="s">
        <v>23</v>
      </c>
      <c r="C91" s="13" t="s">
        <v>61</v>
      </c>
      <c r="D91" s="8"/>
      <c r="E91" s="18" t="s">
        <v>38</v>
      </c>
      <c r="F91" s="19" t="s">
        <v>54</v>
      </c>
      <c r="G91" s="18" t="s">
        <v>55</v>
      </c>
      <c r="H91" s="40" t="s">
        <v>54</v>
      </c>
    </row>
    <row r="92" spans="1:8" ht="13.5" thickBot="1">
      <c r="A92" s="49"/>
      <c r="B92" s="55"/>
      <c r="C92" s="12" t="s">
        <v>0</v>
      </c>
      <c r="D92" s="12" t="s">
        <v>1</v>
      </c>
      <c r="E92" s="9">
        <f>SUM(E93:E105)</f>
        <v>0</v>
      </c>
      <c r="F92" s="20" t="str">
        <f>IF(G$31=0,"   ",+SUM(F93:F105))</f>
        <v>   </v>
      </c>
      <c r="G92" s="21">
        <f>SUM(G93:G105)</f>
        <v>0</v>
      </c>
      <c r="H92" s="41" t="str">
        <f>IF(G$31=0,"   ",+SUM(H93:H105))</f>
        <v>   </v>
      </c>
    </row>
    <row r="93" spans="1:8" ht="12.75">
      <c r="A93" s="49"/>
      <c r="B93" s="147" t="str">
        <f aca="true" t="shared" si="11" ref="B93:B105">IF(OR(C93&lt;$C$28,C93&gt;$F$28,$G$31&lt;95),"  ",B37)</f>
        <v>  </v>
      </c>
      <c r="C93" s="139">
        <f aca="true" t="shared" si="12" ref="C93:C105">C37</f>
        <v>12</v>
      </c>
      <c r="D93" s="140" t="str">
        <f>IF(OR($C93&lt;$C$28,$C93&gt;$F$28)," ",10*(C93-C$28)/(F$28-C$28))</f>
        <v> </v>
      </c>
      <c r="E93" s="62" t="str">
        <f aca="true" t="shared" si="13" ref="E93:E105">IF(OR($C37&lt;$C$28,$C37&gt;$F$28,$G$31&lt;0.5)," ",B93*C93)</f>
        <v> </v>
      </c>
      <c r="F93" s="62" t="str">
        <f aca="true" t="shared" si="14" ref="F93:F105">IF(OR($C37&lt;$C$28,$C37&gt;$F$28,$G$31&lt;0.5)," ",$B93*(C93-F$107)*(C93-F$107))</f>
        <v> </v>
      </c>
      <c r="G93" s="62" t="str">
        <f aca="true" t="shared" si="15" ref="G93:G105">IF(OR($C37&lt;$C$28,$C37&gt;$F$28,$G$31&lt;0.5)," ",B93*D93)</f>
        <v> </v>
      </c>
      <c r="H93" s="63" t="str">
        <f aca="true" t="shared" si="16" ref="H93:H105">IF(OR($C37&lt;$C$28,$C37&gt;$F$28,$G$31&lt;0.5)," ",$B93*(D93-H$107)*(D93-H$107))</f>
        <v> </v>
      </c>
    </row>
    <row r="94" spans="1:8" ht="12.75">
      <c r="A94" s="49"/>
      <c r="B94" s="148" t="str">
        <f t="shared" si="11"/>
        <v>  </v>
      </c>
      <c r="C94" s="15">
        <f t="shared" si="12"/>
        <v>11</v>
      </c>
      <c r="D94" s="62" t="str">
        <f aca="true" t="shared" si="17" ref="D94:D105">IF(OR(C94&lt;C$28,C94&gt;F$28)," ",10*(C94-C$28)/(F$28-C$28))</f>
        <v> </v>
      </c>
      <c r="E94" s="62" t="str">
        <f t="shared" si="13"/>
        <v> </v>
      </c>
      <c r="F94" s="62" t="str">
        <f t="shared" si="14"/>
        <v> </v>
      </c>
      <c r="G94" s="62" t="str">
        <f t="shared" si="15"/>
        <v> </v>
      </c>
      <c r="H94" s="63" t="str">
        <f t="shared" si="16"/>
        <v> </v>
      </c>
    </row>
    <row r="95" spans="1:8" ht="12.75">
      <c r="A95" s="49"/>
      <c r="B95" s="148" t="str">
        <f t="shared" si="11"/>
        <v>  </v>
      </c>
      <c r="C95" s="15">
        <f t="shared" si="12"/>
        <v>10</v>
      </c>
      <c r="D95" s="62" t="str">
        <f t="shared" si="17"/>
        <v> </v>
      </c>
      <c r="E95" s="62" t="str">
        <f t="shared" si="13"/>
        <v> </v>
      </c>
      <c r="F95" s="62" t="str">
        <f t="shared" si="14"/>
        <v> </v>
      </c>
      <c r="G95" s="62" t="str">
        <f t="shared" si="15"/>
        <v> </v>
      </c>
      <c r="H95" s="63" t="str">
        <f t="shared" si="16"/>
        <v> </v>
      </c>
    </row>
    <row r="96" spans="1:8" ht="12.75">
      <c r="A96" s="49"/>
      <c r="B96" s="148" t="str">
        <f t="shared" si="11"/>
        <v>  </v>
      </c>
      <c r="C96" s="15">
        <f t="shared" si="12"/>
        <v>9</v>
      </c>
      <c r="D96" s="62" t="str">
        <f t="shared" si="17"/>
        <v> </v>
      </c>
      <c r="E96" s="62" t="str">
        <f t="shared" si="13"/>
        <v> </v>
      </c>
      <c r="F96" s="62" t="str">
        <f t="shared" si="14"/>
        <v> </v>
      </c>
      <c r="G96" s="62" t="str">
        <f t="shared" si="15"/>
        <v> </v>
      </c>
      <c r="H96" s="63" t="str">
        <f t="shared" si="16"/>
        <v> </v>
      </c>
    </row>
    <row r="97" spans="1:8" ht="12.75">
      <c r="A97" s="49"/>
      <c r="B97" s="148" t="str">
        <f t="shared" si="11"/>
        <v>  </v>
      </c>
      <c r="C97" s="15">
        <f t="shared" si="12"/>
        <v>8</v>
      </c>
      <c r="D97" s="62" t="str">
        <f t="shared" si="17"/>
        <v> </v>
      </c>
      <c r="E97" s="62" t="str">
        <f t="shared" si="13"/>
        <v> </v>
      </c>
      <c r="F97" s="62" t="str">
        <f t="shared" si="14"/>
        <v> </v>
      </c>
      <c r="G97" s="62" t="str">
        <f t="shared" si="15"/>
        <v> </v>
      </c>
      <c r="H97" s="63" t="str">
        <f t="shared" si="16"/>
        <v> </v>
      </c>
    </row>
    <row r="98" spans="1:8" ht="12.75">
      <c r="A98" s="49"/>
      <c r="B98" s="148" t="str">
        <f t="shared" si="11"/>
        <v>  </v>
      </c>
      <c r="C98" s="15">
        <f t="shared" si="12"/>
        <v>7</v>
      </c>
      <c r="D98" s="62" t="str">
        <f t="shared" si="17"/>
        <v> </v>
      </c>
      <c r="E98" s="62" t="str">
        <f t="shared" si="13"/>
        <v> </v>
      </c>
      <c r="F98" s="62" t="str">
        <f t="shared" si="14"/>
        <v> </v>
      </c>
      <c r="G98" s="62" t="str">
        <f t="shared" si="15"/>
        <v> </v>
      </c>
      <c r="H98" s="63" t="str">
        <f t="shared" si="16"/>
        <v> </v>
      </c>
    </row>
    <row r="99" spans="1:8" ht="12.75">
      <c r="A99" s="49"/>
      <c r="B99" s="148" t="str">
        <f t="shared" si="11"/>
        <v>  </v>
      </c>
      <c r="C99" s="15">
        <f t="shared" si="12"/>
        <v>6</v>
      </c>
      <c r="D99" s="62" t="str">
        <f t="shared" si="17"/>
        <v> </v>
      </c>
      <c r="E99" s="62" t="str">
        <f t="shared" si="13"/>
        <v> </v>
      </c>
      <c r="F99" s="62" t="str">
        <f t="shared" si="14"/>
        <v> </v>
      </c>
      <c r="G99" s="62" t="str">
        <f t="shared" si="15"/>
        <v> </v>
      </c>
      <c r="H99" s="63" t="str">
        <f t="shared" si="16"/>
        <v> </v>
      </c>
    </row>
    <row r="100" spans="1:8" ht="12.75">
      <c r="A100" s="49"/>
      <c r="B100" s="148" t="str">
        <f t="shared" si="11"/>
        <v>  </v>
      </c>
      <c r="C100" s="15">
        <f t="shared" si="12"/>
        <v>5</v>
      </c>
      <c r="D100" s="62" t="str">
        <f t="shared" si="17"/>
        <v> </v>
      </c>
      <c r="E100" s="62" t="str">
        <f t="shared" si="13"/>
        <v> </v>
      </c>
      <c r="F100" s="62" t="str">
        <f t="shared" si="14"/>
        <v> </v>
      </c>
      <c r="G100" s="62" t="str">
        <f t="shared" si="15"/>
        <v> </v>
      </c>
      <c r="H100" s="63" t="str">
        <f t="shared" si="16"/>
        <v> </v>
      </c>
    </row>
    <row r="101" spans="1:8" ht="12.75">
      <c r="A101" s="49"/>
      <c r="B101" s="148" t="str">
        <f t="shared" si="11"/>
        <v>  </v>
      </c>
      <c r="C101" s="15">
        <f t="shared" si="12"/>
        <v>4</v>
      </c>
      <c r="D101" s="62">
        <f t="shared" si="17"/>
        <v>10</v>
      </c>
      <c r="E101" s="62" t="str">
        <f t="shared" si="13"/>
        <v> </v>
      </c>
      <c r="F101" s="62" t="str">
        <f t="shared" si="14"/>
        <v> </v>
      </c>
      <c r="G101" s="62" t="str">
        <f t="shared" si="15"/>
        <v> </v>
      </c>
      <c r="H101" s="63" t="str">
        <f t="shared" si="16"/>
        <v> </v>
      </c>
    </row>
    <row r="102" spans="1:8" ht="12.75">
      <c r="A102" s="49"/>
      <c r="B102" s="148" t="str">
        <f t="shared" si="11"/>
        <v>  </v>
      </c>
      <c r="C102" s="15">
        <f t="shared" si="12"/>
        <v>3</v>
      </c>
      <c r="D102" s="62">
        <f t="shared" si="17"/>
        <v>6.666666666666667</v>
      </c>
      <c r="E102" s="62" t="str">
        <f t="shared" si="13"/>
        <v> </v>
      </c>
      <c r="F102" s="62" t="str">
        <f t="shared" si="14"/>
        <v> </v>
      </c>
      <c r="G102" s="62" t="str">
        <f t="shared" si="15"/>
        <v> </v>
      </c>
      <c r="H102" s="63" t="str">
        <f t="shared" si="16"/>
        <v> </v>
      </c>
    </row>
    <row r="103" spans="1:8" ht="12.75">
      <c r="A103" s="49"/>
      <c r="B103" s="148" t="str">
        <f t="shared" si="11"/>
        <v>  </v>
      </c>
      <c r="C103" s="15">
        <f t="shared" si="12"/>
        <v>2</v>
      </c>
      <c r="D103" s="62">
        <f t="shared" si="17"/>
        <v>3.3333333333333335</v>
      </c>
      <c r="E103" s="62" t="str">
        <f t="shared" si="13"/>
        <v> </v>
      </c>
      <c r="F103" s="62" t="str">
        <f t="shared" si="14"/>
        <v> </v>
      </c>
      <c r="G103" s="62" t="str">
        <f t="shared" si="15"/>
        <v> </v>
      </c>
      <c r="H103" s="63" t="str">
        <f t="shared" si="16"/>
        <v> </v>
      </c>
    </row>
    <row r="104" spans="1:8" ht="12.75">
      <c r="A104" s="49"/>
      <c r="B104" s="148" t="str">
        <f t="shared" si="11"/>
        <v>  </v>
      </c>
      <c r="C104" s="15">
        <f t="shared" si="12"/>
        <v>1</v>
      </c>
      <c r="D104" s="62">
        <f t="shared" si="17"/>
        <v>0</v>
      </c>
      <c r="E104" s="62" t="str">
        <f t="shared" si="13"/>
        <v> </v>
      </c>
      <c r="F104" s="62" t="str">
        <f t="shared" si="14"/>
        <v> </v>
      </c>
      <c r="G104" s="62" t="str">
        <f t="shared" si="15"/>
        <v> </v>
      </c>
      <c r="H104" s="63" t="str">
        <f t="shared" si="16"/>
        <v> </v>
      </c>
    </row>
    <row r="105" spans="1:8" ht="13.5" thickBot="1">
      <c r="A105" s="98"/>
      <c r="B105" s="149" t="str">
        <f t="shared" si="11"/>
        <v>  </v>
      </c>
      <c r="C105" s="45">
        <f t="shared" si="12"/>
        <v>0</v>
      </c>
      <c r="D105" s="88" t="str">
        <f t="shared" si="17"/>
        <v> </v>
      </c>
      <c r="E105" s="88" t="str">
        <f t="shared" si="13"/>
        <v> </v>
      </c>
      <c r="F105" s="88" t="str">
        <f t="shared" si="14"/>
        <v> </v>
      </c>
      <c r="G105" s="88" t="str">
        <f t="shared" si="15"/>
        <v> </v>
      </c>
      <c r="H105" s="89" t="str">
        <f t="shared" si="16"/>
        <v> </v>
      </c>
    </row>
    <row r="106" spans="1:9" ht="13.5" thickTop="1">
      <c r="A106" s="192" t="s">
        <v>110</v>
      </c>
      <c r="B106" s="15"/>
      <c r="C106" s="15"/>
      <c r="D106" s="15"/>
      <c r="E106" s="15"/>
      <c r="F106" s="203" t="s">
        <v>8</v>
      </c>
      <c r="G106" s="139"/>
      <c r="H106" s="214" t="s">
        <v>10</v>
      </c>
      <c r="I106" s="212"/>
    </row>
    <row r="107" spans="1:9" ht="12.75">
      <c r="A107" s="213"/>
      <c r="B107" s="196"/>
      <c r="C107" s="196"/>
      <c r="D107" s="196"/>
      <c r="E107" s="100" t="s">
        <v>11</v>
      </c>
      <c r="F107" s="197" t="str">
        <f>IF($G$31&lt;G30,"     ",+E92/$G$31)</f>
        <v>     </v>
      </c>
      <c r="G107" s="15"/>
      <c r="H107" s="198" t="str">
        <f>IF($G$31&lt;G30,"     ",+G92/$G$31)</f>
        <v>     </v>
      </c>
      <c r="I107" s="212"/>
    </row>
    <row r="108" spans="1:9" ht="12.75">
      <c r="A108" s="195"/>
      <c r="B108" s="196"/>
      <c r="C108" s="196"/>
      <c r="D108" s="196"/>
      <c r="E108" s="100" t="s">
        <v>49</v>
      </c>
      <c r="F108" s="197" t="e">
        <f>IF(G21&lt;G30," ",F$107-(TINV(0.05,$G$110))*F113/(SQRT($G$24)))</f>
        <v>#VALUE!</v>
      </c>
      <c r="G108" s="15"/>
      <c r="H108" s="198" t="e">
        <f>IF(G21&lt;G30," ",H$107-(TINV(0.05,$G$110))*H113/(SQRT($G$24)))</f>
        <v>#VALUE!</v>
      </c>
      <c r="I108" s="212"/>
    </row>
    <row r="109" spans="1:9" ht="12.75">
      <c r="A109" s="195"/>
      <c r="B109" s="196"/>
      <c r="C109" s="196"/>
      <c r="D109" s="196"/>
      <c r="E109" s="100" t="s">
        <v>50</v>
      </c>
      <c r="F109" s="197" t="e">
        <f>IF(G21&lt;G30," ",F$107+(TINV(0.05,$G$110))*F113/(SQRT($G$24)))</f>
        <v>#VALUE!</v>
      </c>
      <c r="G109" s="15"/>
      <c r="H109" s="198" t="e">
        <f>IF(G21&lt;G30," ",H$107+(TINV(0.05,$G$110))*H113/(SQRT($G$24)))</f>
        <v>#VALUE!</v>
      </c>
      <c r="I109" s="212"/>
    </row>
    <row r="110" spans="1:9" ht="12.75">
      <c r="A110" s="195"/>
      <c r="B110" s="520" t="s">
        <v>173</v>
      </c>
      <c r="C110" s="520"/>
      <c r="D110" s="520"/>
      <c r="E110" s="521" t="s">
        <v>45</v>
      </c>
      <c r="F110" s="197" t="e">
        <f>IF($G110&gt;0.1,F112*($G110+1)/$G110," ")</f>
        <v>#VALUE!</v>
      </c>
      <c r="G110" s="225">
        <f>IF(G$21&gt;F$28,G$24-1,"")</f>
        <v>6772</v>
      </c>
      <c r="H110" s="198" t="e">
        <f>IF($G110&gt;0.1,H112*($G110+1)/$G110," ")</f>
        <v>#VALUE!</v>
      </c>
      <c r="I110" s="213"/>
    </row>
    <row r="111" spans="1:9" ht="12.75">
      <c r="A111" s="195"/>
      <c r="B111" s="575" t="s">
        <v>174</v>
      </c>
      <c r="C111" s="575"/>
      <c r="D111" s="575"/>
      <c r="E111" s="576" t="s">
        <v>46</v>
      </c>
      <c r="F111" s="197" t="e">
        <f>IF(F110&lt;0,"   ",SQRT(F110))</f>
        <v>#VALUE!</v>
      </c>
      <c r="G111" s="596" t="str">
        <f>IF(G$21&gt;F$28,"df","")</f>
        <v>df</v>
      </c>
      <c r="H111" s="198" t="e">
        <f>IF(H110&lt;0,"   ",SQRT(H110))</f>
        <v>#VALUE!</v>
      </c>
      <c r="I111" s="213"/>
    </row>
    <row r="112" spans="1:9" ht="12.75">
      <c r="A112" s="195"/>
      <c r="B112" s="590" t="s">
        <v>175</v>
      </c>
      <c r="C112" s="520"/>
      <c r="D112" s="520"/>
      <c r="E112" s="521" t="s">
        <v>45</v>
      </c>
      <c r="F112" s="197" t="str">
        <f>IF($G$31=0,"   ",+F92/$G$31)</f>
        <v>   </v>
      </c>
      <c r="G112" s="597"/>
      <c r="H112" s="198" t="str">
        <f>IF($G$31=0,"   ",+H92/$G$31)</f>
        <v>   </v>
      </c>
      <c r="I112" s="212"/>
    </row>
    <row r="113" spans="1:9" ht="13.5" thickBot="1">
      <c r="A113" s="295"/>
      <c r="B113" s="575" t="s">
        <v>176</v>
      </c>
      <c r="C113" s="575"/>
      <c r="D113" s="575"/>
      <c r="E113" s="591" t="s">
        <v>46</v>
      </c>
      <c r="F113" s="297" t="str">
        <f>IF($G$31=0,"      ",+SQRT(F112))</f>
        <v>      </v>
      </c>
      <c r="H113" s="298" t="str">
        <f>IF($G$31=0,"      ",+SQRT(H112))</f>
        <v>      </v>
      </c>
      <c r="I113" s="212"/>
    </row>
    <row r="114" spans="1:9" ht="12.75">
      <c r="A114" s="192" t="s">
        <v>28</v>
      </c>
      <c r="B114" s="299"/>
      <c r="C114" s="299"/>
      <c r="D114" s="139"/>
      <c r="E114" s="300"/>
      <c r="F114" s="203" t="s">
        <v>8</v>
      </c>
      <c r="G114" s="301"/>
      <c r="H114" s="204" t="s">
        <v>10</v>
      </c>
      <c r="I114" s="212"/>
    </row>
    <row r="115" spans="1:9" ht="12.75">
      <c r="A115" s="195"/>
      <c r="B115" s="196"/>
      <c r="C115" s="196"/>
      <c r="D115" s="196"/>
      <c r="E115" s="200" t="s">
        <v>11</v>
      </c>
      <c r="F115" s="197" t="e">
        <f>$F$28+$C$28-F107</f>
        <v>#VALUE!</v>
      </c>
      <c r="G115" s="15"/>
      <c r="H115" s="198" t="e">
        <f>10-H107</f>
        <v>#VALUE!</v>
      </c>
      <c r="I115" s="212"/>
    </row>
    <row r="116" spans="1:9" ht="12.75">
      <c r="A116" s="195"/>
      <c r="B116" s="196"/>
      <c r="C116" s="196"/>
      <c r="D116" s="196"/>
      <c r="E116" s="100" t="s">
        <v>49</v>
      </c>
      <c r="F116" s="197" t="e">
        <f>IF(G21&lt;G30," ",$F$28+$C$28-F109)</f>
        <v>#VALUE!</v>
      </c>
      <c r="G116" s="15"/>
      <c r="H116" s="198" t="e">
        <f>IF(G21&lt;G30," ",10-H109)</f>
        <v>#VALUE!</v>
      </c>
      <c r="I116" s="212"/>
    </row>
    <row r="117" spans="1:9" ht="13.5" thickBot="1">
      <c r="A117" s="195"/>
      <c r="B117" s="196"/>
      <c r="C117" s="196"/>
      <c r="D117" s="196"/>
      <c r="E117" s="100" t="s">
        <v>50</v>
      </c>
      <c r="F117" s="197" t="e">
        <f>IF(G21&lt;G30," ",$F$28+$C$28-F108)</f>
        <v>#VALUE!</v>
      </c>
      <c r="G117" s="15"/>
      <c r="H117" s="198" t="e">
        <f>IF(G21&lt;G30,"",10-H108)</f>
        <v>#VALUE!</v>
      </c>
      <c r="I117" s="212"/>
    </row>
    <row r="118" spans="1:8" ht="14.25" thickBot="1" thickTop="1">
      <c r="A118" s="167"/>
      <c r="B118" s="168"/>
      <c r="C118" s="168"/>
      <c r="D118" s="168"/>
      <c r="E118" s="188" t="s">
        <v>88</v>
      </c>
      <c r="F118" s="169"/>
      <c r="G118" s="169"/>
      <c r="H118" s="170"/>
    </row>
    <row r="119" spans="2:6" ht="13.5" thickTop="1">
      <c r="B119" s="2"/>
      <c r="C119" s="2"/>
      <c r="D119" s="2"/>
      <c r="F119" s="3"/>
    </row>
    <row r="120" spans="2:6" ht="12.75">
      <c r="B120" s="2"/>
      <c r="C120" s="2"/>
      <c r="D120" s="2"/>
      <c r="F120" s="3"/>
    </row>
    <row r="121" spans="2:6" ht="12.75">
      <c r="B121" s="2"/>
      <c r="C121" s="2"/>
      <c r="D121" s="2"/>
      <c r="F121" s="3"/>
    </row>
    <row r="122" spans="2:6" ht="12.75">
      <c r="B122" s="2"/>
      <c r="C122" s="2"/>
      <c r="D122" s="2"/>
      <c r="F122" s="3"/>
    </row>
    <row r="123" spans="2:6" ht="12.75">
      <c r="B123" s="2"/>
      <c r="C123" s="2"/>
      <c r="D123" s="2"/>
      <c r="F123" s="3"/>
    </row>
    <row r="124" spans="2:6" ht="12.75">
      <c r="B124" s="2"/>
      <c r="C124" s="2"/>
      <c r="D124" s="2"/>
      <c r="F124" s="3"/>
    </row>
    <row r="125" spans="2:6" ht="12.75">
      <c r="B125" s="2"/>
      <c r="C125" s="2"/>
      <c r="D125" s="2"/>
      <c r="F125" s="3"/>
    </row>
    <row r="126" spans="2:6" ht="12.75">
      <c r="B126" s="2"/>
      <c r="C126" s="2"/>
      <c r="D126" s="2"/>
      <c r="F126" s="3"/>
    </row>
    <row r="127" spans="2:6" ht="12.75">
      <c r="B127" s="2"/>
      <c r="C127" s="2"/>
      <c r="D127" s="2"/>
      <c r="F127" s="3"/>
    </row>
    <row r="128" spans="2:6" ht="12.75">
      <c r="B128" s="2"/>
      <c r="C128" s="2"/>
      <c r="D128" s="2"/>
      <c r="F128" s="3"/>
    </row>
    <row r="129" spans="2:6" ht="12.75">
      <c r="B129" s="2"/>
      <c r="C129" s="2"/>
      <c r="D129" s="2"/>
      <c r="F129" s="3"/>
    </row>
    <row r="130" spans="2:6" ht="12.75">
      <c r="B130" s="2"/>
      <c r="C130" s="2"/>
      <c r="D130" s="2"/>
      <c r="F130" s="3"/>
    </row>
    <row r="131" spans="2:6" ht="12.75">
      <c r="B131" s="2"/>
      <c r="C131" s="2"/>
      <c r="D131" s="2"/>
      <c r="F131" s="3"/>
    </row>
    <row r="132" spans="2:6" ht="12.75">
      <c r="B132" s="2"/>
      <c r="C132" s="2"/>
      <c r="D132" s="2"/>
      <c r="F132" s="3"/>
    </row>
    <row r="133" spans="2:6" ht="12.75">
      <c r="B133" s="2"/>
      <c r="C133" s="2"/>
      <c r="D133" s="2"/>
      <c r="F133" s="3"/>
    </row>
    <row r="134" spans="2:6" ht="12.75">
      <c r="B134" s="2"/>
      <c r="C134" s="2"/>
      <c r="D134" s="2"/>
      <c r="F134" s="3"/>
    </row>
    <row r="135" spans="2:6" ht="12.75">
      <c r="B135" s="2"/>
      <c r="C135" s="2"/>
      <c r="D135" s="2"/>
      <c r="F135" s="3"/>
    </row>
    <row r="136" spans="2:6" ht="12.75">
      <c r="B136" s="2"/>
      <c r="C136" s="2"/>
      <c r="D136" s="2"/>
      <c r="F136" s="3"/>
    </row>
    <row r="137" spans="2:6" ht="12.75">
      <c r="B137" s="2"/>
      <c r="C137" s="2"/>
      <c r="D137" s="2"/>
      <c r="F137" s="3"/>
    </row>
    <row r="138" spans="2:6" ht="12.75">
      <c r="B138" s="2"/>
      <c r="C138" s="2"/>
      <c r="D138" s="2"/>
      <c r="F138" s="3"/>
    </row>
    <row r="139" spans="2:6" ht="12.75">
      <c r="B139" s="2"/>
      <c r="C139" s="2"/>
      <c r="D139" s="2"/>
      <c r="F139" s="3"/>
    </row>
    <row r="140" spans="2:6" ht="12.75">
      <c r="B140" s="2"/>
      <c r="C140" s="2"/>
      <c r="D140" s="2"/>
      <c r="F140" s="3"/>
    </row>
    <row r="141" spans="2:6" ht="12.75">
      <c r="B141" s="2"/>
      <c r="C141" s="2"/>
      <c r="D141" s="2"/>
      <c r="F141" s="3"/>
    </row>
    <row r="142" spans="2:6" ht="12.75">
      <c r="B142" s="2"/>
      <c r="C142" s="2"/>
      <c r="D142" s="2"/>
      <c r="F142" s="3"/>
    </row>
    <row r="143" spans="2:6" ht="12.75">
      <c r="B143" s="2"/>
      <c r="C143" s="2"/>
      <c r="D143" s="2"/>
      <c r="F143" s="3"/>
    </row>
    <row r="144" spans="2:6" ht="12.75">
      <c r="B144" s="2"/>
      <c r="C144" s="2"/>
      <c r="D144" s="2"/>
      <c r="F144" s="3"/>
    </row>
    <row r="145" spans="2:6" ht="12.75">
      <c r="B145" s="2"/>
      <c r="C145" s="2"/>
      <c r="D145" s="2"/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</sheetData>
  <sheetProtection password="C550" sheet="1" objects="1" scenarios="1"/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K168"/>
  <sheetViews>
    <sheetView showGridLines="0" zoomScalePageLayoutView="0" workbookViewId="0" topLeftCell="A7">
      <selection activeCell="J16" sqref="J16"/>
    </sheetView>
  </sheetViews>
  <sheetFormatPr defaultColWidth="9.625" defaultRowHeight="12.75"/>
  <cols>
    <col min="1" max="1" width="2.75390625" style="1" customWidth="1"/>
    <col min="2" max="2" width="8.75390625" style="1" customWidth="1"/>
    <col min="3" max="3" width="8.375" style="1" customWidth="1"/>
    <col min="4" max="4" width="10.50390625" style="1" customWidth="1"/>
    <col min="5" max="5" width="16.375" style="1" customWidth="1"/>
    <col min="6" max="6" width="12.25390625" style="1" customWidth="1"/>
    <col min="7" max="7" width="9.625" style="1" customWidth="1"/>
    <col min="8" max="8" width="10.50390625" style="1" customWidth="1"/>
    <col min="9" max="16384" width="9.625" style="1" customWidth="1"/>
  </cols>
  <sheetData>
    <row r="1" spans="1:8" ht="14.25" thickBot="1" thickTop="1">
      <c r="A1" s="37" t="s">
        <v>53</v>
      </c>
      <c r="B1" s="46"/>
      <c r="C1" s="47"/>
      <c r="D1" s="47"/>
      <c r="E1" s="47"/>
      <c r="F1" s="47"/>
      <c r="G1" s="47"/>
      <c r="H1" s="48"/>
    </row>
    <row r="2" spans="1:8" ht="12.75">
      <c r="A2" s="49"/>
      <c r="B2" s="16" t="s">
        <v>2</v>
      </c>
      <c r="C2" s="7"/>
      <c r="D2" s="7"/>
      <c r="E2" s="7"/>
      <c r="F2" s="7"/>
      <c r="G2" s="5"/>
      <c r="H2" s="313">
        <v>38527</v>
      </c>
    </row>
    <row r="3" spans="1:8" ht="13.5" thickBot="1">
      <c r="A3" s="49"/>
      <c r="B3" s="16"/>
      <c r="C3" s="7"/>
      <c r="D3" s="7"/>
      <c r="E3" s="7"/>
      <c r="F3" s="7"/>
      <c r="G3" s="5"/>
      <c r="H3" s="84"/>
    </row>
    <row r="4" spans="1:8" ht="13.5" thickBot="1">
      <c r="A4" s="121" t="s">
        <v>82</v>
      </c>
      <c r="B4" s="121"/>
      <c r="C4" s="122"/>
      <c r="D4" s="122"/>
      <c r="E4" s="123"/>
      <c r="F4" s="123"/>
      <c r="G4" s="124"/>
      <c r="H4" s="125"/>
    </row>
    <row r="5" spans="1:8" ht="13.5" thickBot="1">
      <c r="A5" s="49"/>
      <c r="B5" s="16"/>
      <c r="C5" s="7"/>
      <c r="D5" s="7"/>
      <c r="E5" s="7"/>
      <c r="F5" s="7"/>
      <c r="G5" s="5"/>
      <c r="H5" s="84"/>
    </row>
    <row r="6" spans="1:8" ht="12.75">
      <c r="A6" s="111" t="s">
        <v>67</v>
      </c>
      <c r="B6" s="26"/>
      <c r="C6" s="50"/>
      <c r="D6" s="50"/>
      <c r="E6" s="50"/>
      <c r="F6" s="10"/>
      <c r="G6" s="10"/>
      <c r="H6" s="23"/>
    </row>
    <row r="7" spans="1:8" ht="12.75">
      <c r="A7" s="49" t="s">
        <v>64</v>
      </c>
      <c r="B7" s="16"/>
      <c r="C7" s="7"/>
      <c r="D7" s="7"/>
      <c r="E7" s="7"/>
      <c r="F7" s="5"/>
      <c r="G7" s="5"/>
      <c r="H7" s="4"/>
    </row>
    <row r="8" spans="1:8" ht="12.75">
      <c r="A8" s="49" t="s">
        <v>65</v>
      </c>
      <c r="B8" s="16"/>
      <c r="C8" s="7"/>
      <c r="D8" s="7"/>
      <c r="E8" s="7"/>
      <c r="F8" s="5"/>
      <c r="G8" s="5"/>
      <c r="H8" s="4"/>
    </row>
    <row r="9" spans="1:9" ht="12.75">
      <c r="A9" s="49" t="s">
        <v>116</v>
      </c>
      <c r="B9" s="16"/>
      <c r="C9" s="7"/>
      <c r="D9" s="7"/>
      <c r="E9" s="7"/>
      <c r="F9" s="5"/>
      <c r="G9" s="5"/>
      <c r="H9" s="4"/>
      <c r="I9" s="126"/>
    </row>
    <row r="10" spans="1:8" ht="12.75">
      <c r="A10" s="49" t="s">
        <v>117</v>
      </c>
      <c r="B10" s="16"/>
      <c r="C10" s="7"/>
      <c r="D10" s="7"/>
      <c r="E10" s="7"/>
      <c r="F10" s="5"/>
      <c r="G10" s="5"/>
      <c r="H10" s="4"/>
    </row>
    <row r="11" spans="1:8" ht="12.75">
      <c r="A11" s="49" t="s">
        <v>66</v>
      </c>
      <c r="B11" s="16"/>
      <c r="C11" s="7"/>
      <c r="D11" s="7"/>
      <c r="E11" s="7"/>
      <c r="F11" s="5"/>
      <c r="G11" s="5"/>
      <c r="H11" s="4"/>
    </row>
    <row r="12" spans="1:8" ht="12.75">
      <c r="A12" s="49"/>
      <c r="B12" s="16"/>
      <c r="C12" s="7"/>
      <c r="D12" s="7"/>
      <c r="E12" s="7"/>
      <c r="F12" s="5"/>
      <c r="G12" s="5"/>
      <c r="H12" s="4"/>
    </row>
    <row r="13" spans="1:8" ht="12.75">
      <c r="A13" s="49"/>
      <c r="B13" s="16" t="s">
        <v>22</v>
      </c>
      <c r="C13" s="7"/>
      <c r="D13" s="7"/>
      <c r="E13" s="7"/>
      <c r="F13" s="5"/>
      <c r="G13" s="5"/>
      <c r="H13" s="4"/>
    </row>
    <row r="14" spans="1:8" ht="13.5" thickBot="1">
      <c r="A14" s="51"/>
      <c r="B14" s="24"/>
      <c r="C14" s="52"/>
      <c r="D14" s="52"/>
      <c r="E14" s="52"/>
      <c r="F14" s="11"/>
      <c r="G14" s="11"/>
      <c r="H14" s="25"/>
    </row>
    <row r="15" spans="1:8" ht="13.5" thickBot="1">
      <c r="A15" s="53" t="s">
        <v>43</v>
      </c>
      <c r="B15" s="16"/>
      <c r="C15" s="7"/>
      <c r="D15" s="7"/>
      <c r="E15" s="7"/>
      <c r="F15" s="5"/>
      <c r="G15" s="5"/>
      <c r="H15" s="4"/>
    </row>
    <row r="16" spans="1:9" ht="12.75">
      <c r="A16" s="49"/>
      <c r="B16" s="76" t="str">
        <f>IF(E24&gt;C24," ","WARNING !!!")</f>
        <v> </v>
      </c>
      <c r="C16" s="77"/>
      <c r="D16" s="77"/>
      <c r="E16" s="77"/>
      <c r="F16" s="78"/>
      <c r="G16" s="22"/>
      <c r="H16" s="38"/>
      <c r="I16" s="14"/>
    </row>
    <row r="17" spans="1:9" ht="12.75">
      <c r="A17" s="49"/>
      <c r="B17" s="79" t="str">
        <f>IF(E24&gt;C24," ","CHECK   YOUR  INPUT  THOROUGHLY !!!")</f>
        <v> </v>
      </c>
      <c r="C17" s="57"/>
      <c r="D17" s="57"/>
      <c r="E17" s="57"/>
      <c r="F17" s="80"/>
      <c r="G17" s="22"/>
      <c r="H17" s="38"/>
      <c r="I17" s="14"/>
    </row>
    <row r="18" spans="1:9" ht="12.75">
      <c r="A18" s="49"/>
      <c r="B18" s="79" t="str">
        <f>IF(E24&gt;C24," ","AN INPUT ERROR MIGHT HAVE BEEN MADE")</f>
        <v> </v>
      </c>
      <c r="C18" s="57"/>
      <c r="D18" s="57"/>
      <c r="E18" s="57"/>
      <c r="F18" s="80"/>
      <c r="G18" s="22"/>
      <c r="H18" s="38"/>
      <c r="I18" s="14"/>
    </row>
    <row r="19" spans="1:9" ht="13.5" thickBot="1">
      <c r="A19" s="49"/>
      <c r="B19" s="81" t="str">
        <f>IF(E24&gt;C24,"  ","OUTPUT MIGHT BE UNRELIABLE")</f>
        <v>  </v>
      </c>
      <c r="C19" s="82"/>
      <c r="D19" s="82"/>
      <c r="E19" s="82"/>
      <c r="F19" s="83"/>
      <c r="G19" s="22"/>
      <c r="H19" s="38"/>
      <c r="I19" s="14"/>
    </row>
    <row r="20" spans="1:8" ht="13.5" thickBot="1">
      <c r="A20" s="53" t="s">
        <v>5</v>
      </c>
      <c r="B20" s="16"/>
      <c r="C20" s="7"/>
      <c r="D20" s="7"/>
      <c r="E20" s="7"/>
      <c r="F20" s="5"/>
      <c r="G20" s="16"/>
      <c r="H20" s="4"/>
    </row>
    <row r="21" spans="1:10" ht="12.75">
      <c r="A21" s="49"/>
      <c r="B21" s="116" t="s">
        <v>95</v>
      </c>
      <c r="C21" s="67"/>
      <c r="D21" s="67"/>
      <c r="E21" s="108"/>
      <c r="F21" s="74">
        <v>154</v>
      </c>
      <c r="G21" s="325" t="s">
        <v>52</v>
      </c>
      <c r="H21" s="326"/>
      <c r="I21" s="14"/>
      <c r="J21" s="14"/>
    </row>
    <row r="22" spans="1:10" ht="12.75">
      <c r="A22" s="166"/>
      <c r="B22" s="159" t="s">
        <v>96</v>
      </c>
      <c r="C22" s="15"/>
      <c r="D22" s="15"/>
      <c r="E22" s="15"/>
      <c r="F22" s="177"/>
      <c r="G22" s="327" t="s">
        <v>75</v>
      </c>
      <c r="H22" s="328"/>
      <c r="I22" s="14"/>
      <c r="J22" s="14"/>
    </row>
    <row r="23" spans="1:10" ht="12.75">
      <c r="A23" s="166"/>
      <c r="B23" s="161" t="s">
        <v>89</v>
      </c>
      <c r="C23" s="162"/>
      <c r="D23" s="163"/>
      <c r="E23" s="164" t="s">
        <v>86</v>
      </c>
      <c r="F23" s="178"/>
      <c r="G23" s="160"/>
      <c r="H23" s="17"/>
      <c r="I23" s="14"/>
      <c r="J23" s="14"/>
    </row>
    <row r="24" spans="1:10" ht="12.75">
      <c r="A24" s="166"/>
      <c r="B24" s="179"/>
      <c r="C24" s="174">
        <v>1</v>
      </c>
      <c r="D24" s="173" t="str">
        <f>IF(AND(E$24&gt;C$24,C$24&lt;2)," ","ERROR ?")</f>
        <v> </v>
      </c>
      <c r="E24" s="172">
        <v>3</v>
      </c>
      <c r="F24" s="180" t="str">
        <f>IF(AND(E$24&gt;C$24,E$24&lt;13)," ","  ERROR  ?")</f>
        <v> </v>
      </c>
      <c r="G24" s="115"/>
      <c r="H24" s="17"/>
      <c r="I24" s="14"/>
      <c r="J24" s="14"/>
    </row>
    <row r="25" spans="1:10" ht="12.75">
      <c r="A25" s="240"/>
      <c r="B25" s="216"/>
      <c r="C25" s="217" t="s">
        <v>99</v>
      </c>
      <c r="D25" s="172">
        <v>0</v>
      </c>
      <c r="E25" s="210" t="s">
        <v>114</v>
      </c>
      <c r="F25" s="180">
        <f>IF(OR(D25=0,D25=1),"","  ERROR !!")</f>
      </c>
      <c r="H25" s="17"/>
      <c r="I25" s="14"/>
      <c r="J25" s="14"/>
    </row>
    <row r="26" spans="1:10" ht="13.5" thickBot="1">
      <c r="A26" s="49"/>
      <c r="B26" s="117" t="s">
        <v>62</v>
      </c>
      <c r="C26" s="7"/>
      <c r="D26" s="7"/>
      <c r="E26" s="7"/>
      <c r="F26" s="324">
        <f>IF(OR(F27&gt;MAX(C24,E24),F27&lt;MIN(C24,E24),F28*F28&gt;(E24-F27)*(F27-C24),F28&lt;0),2,0)</f>
        <v>0</v>
      </c>
      <c r="G26" s="118"/>
      <c r="H26" s="17"/>
      <c r="I26" s="14"/>
      <c r="J26" s="14"/>
    </row>
    <row r="27" spans="1:10" ht="12.75">
      <c r="A27" s="49"/>
      <c r="B27" s="117" t="s">
        <v>93</v>
      </c>
      <c r="C27" s="7"/>
      <c r="D27" s="7"/>
      <c r="E27" s="181" t="s">
        <v>92</v>
      </c>
      <c r="F27" s="75">
        <v>2.23</v>
      </c>
      <c r="G27" s="79" t="str">
        <f>IF(F50=1," ","")</f>
        <v> </v>
      </c>
      <c r="H27" s="4"/>
      <c r="I27" s="14"/>
      <c r="J27" s="14"/>
    </row>
    <row r="28" spans="1:10" ht="12.75">
      <c r="A28" s="49"/>
      <c r="B28" s="117" t="s">
        <v>94</v>
      </c>
      <c r="C28" s="7"/>
      <c r="D28" s="7"/>
      <c r="E28" s="181" t="s">
        <v>119</v>
      </c>
      <c r="F28" s="317">
        <v>0.41</v>
      </c>
      <c r="G28" s="79" t="str">
        <f>IF(H50=1," ","")</f>
        <v> </v>
      </c>
      <c r="H28" s="4"/>
      <c r="I28" s="14"/>
      <c r="J28" s="14"/>
    </row>
    <row r="29" spans="1:10" ht="13.5" thickBot="1">
      <c r="A29" s="49"/>
      <c r="B29" s="119"/>
      <c r="C29" s="52"/>
      <c r="D29" s="52"/>
      <c r="E29" s="318"/>
      <c r="F29" s="319">
        <f>IF(F26&gt;1,"Input error !!","")</f>
      </c>
      <c r="G29" s="27"/>
      <c r="H29" s="4"/>
      <c r="I29" s="14"/>
      <c r="J29" s="14"/>
    </row>
    <row r="30" spans="1:10" ht="13.5" thickBot="1">
      <c r="A30" s="49"/>
      <c r="B30" s="27" t="str">
        <f>IF($E$24&gt;$C$24," ","        WARNING !!!  SEE  MESSAGES. ")</f>
        <v> </v>
      </c>
      <c r="C30" s="57"/>
      <c r="D30" s="57"/>
      <c r="E30" s="57"/>
      <c r="G30" s="115"/>
      <c r="H30" s="17"/>
      <c r="I30" s="14"/>
      <c r="J30" s="14"/>
    </row>
    <row r="31" spans="1:10" ht="12.75">
      <c r="A31" s="111" t="s">
        <v>73</v>
      </c>
      <c r="B31" s="205"/>
      <c r="C31" s="66"/>
      <c r="D31" s="66"/>
      <c r="E31" s="67"/>
      <c r="F31" s="112"/>
      <c r="G31" s="67"/>
      <c r="H31" s="113"/>
      <c r="I31" s="14"/>
      <c r="J31" s="14"/>
    </row>
    <row r="32" spans="1:10" ht="12.75">
      <c r="A32" s="53" t="s">
        <v>68</v>
      </c>
      <c r="B32" s="65"/>
      <c r="C32" s="65"/>
      <c r="D32" s="65"/>
      <c r="E32" s="7"/>
      <c r="F32" s="156"/>
      <c r="G32" s="241"/>
      <c r="H32" s="242" t="str">
        <f>IF(D25=1,"REVERSED SCALE STATISTICS:   "," ")</f>
        <v> </v>
      </c>
      <c r="J32" s="14"/>
    </row>
    <row r="33" spans="1:10" ht="12.75">
      <c r="A33" s="61" t="s">
        <v>63</v>
      </c>
      <c r="B33" s="94"/>
      <c r="C33" s="15"/>
      <c r="D33" s="62"/>
      <c r="E33" s="95"/>
      <c r="F33" s="96"/>
      <c r="G33" s="7"/>
      <c r="H33" s="6"/>
      <c r="I33" s="243"/>
      <c r="J33" s="14"/>
    </row>
    <row r="34" spans="1:10" ht="13.5" thickBot="1">
      <c r="A34" s="61" t="s">
        <v>51</v>
      </c>
      <c r="B34" s="94"/>
      <c r="C34" s="15"/>
      <c r="D34" s="62"/>
      <c r="E34" s="95"/>
      <c r="F34" s="96"/>
      <c r="G34" s="7"/>
      <c r="H34" s="6"/>
      <c r="J34" s="14"/>
    </row>
    <row r="35" spans="1:10" ht="12.75">
      <c r="A35" s="53"/>
      <c r="B35" s="65"/>
      <c r="C35" s="65"/>
      <c r="D35" s="65"/>
      <c r="E35" s="7"/>
      <c r="F35" s="85" t="s">
        <v>8</v>
      </c>
      <c r="G35" s="320">
        <f>IF(F26&gt;1,"Input","")</f>
      </c>
      <c r="H35" s="86" t="s">
        <v>10</v>
      </c>
      <c r="J35" s="14"/>
    </row>
    <row r="36" spans="1:10" ht="13.5" thickBot="1">
      <c r="A36" s="90"/>
      <c r="B36" s="27" t="str">
        <f>IF($E$24&gt;$C$24," ","        WARNING !!!  SEE  MESSAGES. ")</f>
        <v> </v>
      </c>
      <c r="C36" s="65"/>
      <c r="D36" s="65"/>
      <c r="E36" s="7"/>
      <c r="F36" s="157" t="s">
        <v>9</v>
      </c>
      <c r="G36" s="321">
        <f>IF(F26&gt;1,"error !!","")</f>
      </c>
      <c r="H36" s="158" t="s">
        <v>9</v>
      </c>
      <c r="J36" s="246"/>
    </row>
    <row r="37" spans="1:10" ht="13.5" thickTop="1">
      <c r="A37" s="114"/>
      <c r="B37" s="70"/>
      <c r="C37" s="70"/>
      <c r="D37" s="70"/>
      <c r="E37" s="71" t="s">
        <v>11</v>
      </c>
      <c r="F37" s="36">
        <f>IF($F$27&lt;C$24,"     ",IF($D$25=1,F58,F52))</f>
        <v>2.23</v>
      </c>
      <c r="G37" s="15"/>
      <c r="H37" s="250">
        <f>IF($F$27&lt;C$24,"     ",IF($D$25=1,H58,H52))</f>
        <v>6.15</v>
      </c>
      <c r="I37" s="14"/>
      <c r="J37" s="14"/>
    </row>
    <row r="38" spans="1:10" ht="12.75">
      <c r="A38" s="114"/>
      <c r="B38" s="70"/>
      <c r="C38" s="70"/>
      <c r="D38" s="70"/>
      <c r="E38" s="103" t="s">
        <v>143</v>
      </c>
      <c r="F38" s="33">
        <f>IF(AND(F21&gt;1,F28&gt;0.05),F42/(SQRT(F21))," ")</f>
        <v>0.03303874152504059</v>
      </c>
      <c r="G38" s="322">
        <f>IF(F26&gt;1,"Invalid","")</f>
      </c>
      <c r="H38" s="43">
        <f>IF(AND(F21&gt;1,F28&gt;0.05),H42/(SQRT(F21))," ")</f>
        <v>0.16519370762520294</v>
      </c>
      <c r="I38" s="14"/>
      <c r="J38" s="14"/>
    </row>
    <row r="39" spans="1:10" ht="12.75">
      <c r="A39" s="69"/>
      <c r="B39" s="70"/>
      <c r="C39" s="70"/>
      <c r="D39" s="70"/>
      <c r="E39" s="71" t="s">
        <v>49</v>
      </c>
      <c r="F39" s="36">
        <f>IF($F$27&lt;C$24,"     ",IF($D$25=1,F59,F53))</f>
        <v>2.164728982223168</v>
      </c>
      <c r="G39" s="323">
        <f>IF(F26&gt;1,"results","")</f>
      </c>
      <c r="H39" s="42">
        <f>IF($F$27&lt;C$24,"     ",IF($D$25=1,H59,H53))</f>
        <v>5.823644911115841</v>
      </c>
      <c r="I39" s="14"/>
      <c r="J39" s="14"/>
    </row>
    <row r="40" spans="1:10" ht="12.75">
      <c r="A40" s="69"/>
      <c r="B40" s="70"/>
      <c r="C40" s="70"/>
      <c r="D40" s="70"/>
      <c r="E40" s="71" t="s">
        <v>50</v>
      </c>
      <c r="F40" s="36">
        <f>IF($F$27&lt;C$24,"     ",IF($D$25=1,F60,F54))</f>
        <v>2.295271017776832</v>
      </c>
      <c r="G40" s="15"/>
      <c r="H40" s="42">
        <f>IF($F$27&lt;C$24,"     ",IF($D$25=1,H60,H54))</f>
        <v>6.4763550888841594</v>
      </c>
      <c r="I40" s="14"/>
      <c r="J40" s="14"/>
    </row>
    <row r="41" spans="1:10" ht="12.75">
      <c r="A41" s="69"/>
      <c r="B41" s="70"/>
      <c r="C41" s="70"/>
      <c r="D41" s="70"/>
      <c r="E41" s="103" t="s">
        <v>45</v>
      </c>
      <c r="F41" s="36">
        <f>IF($F$28&lt;0.05,"     ",F55)</f>
        <v>0.16809999999999997</v>
      </c>
      <c r="G41" s="189">
        <f>IF($F$28&lt;0.05,"     ",G55)</f>
        <v>153</v>
      </c>
      <c r="H41" s="43">
        <f>IF($F$28&lt;0.05,"   ",H55)</f>
        <v>4.2025</v>
      </c>
      <c r="I41" s="14"/>
      <c r="J41" s="14"/>
    </row>
    <row r="42" spans="1:10" ht="13.5" thickBot="1">
      <c r="A42" s="72"/>
      <c r="B42" s="73"/>
      <c r="C42" s="73"/>
      <c r="D42" s="73"/>
      <c r="E42" s="104" t="s">
        <v>46</v>
      </c>
      <c r="F42" s="120">
        <f>IF($F$28&lt;0.05,"     ",F$56)</f>
        <v>0.41</v>
      </c>
      <c r="G42" s="155" t="s">
        <v>81</v>
      </c>
      <c r="H42" s="44">
        <f>IF($F$28&lt;0.05,"      ",H56)</f>
        <v>2.05</v>
      </c>
      <c r="I42" s="14"/>
      <c r="J42" s="14"/>
    </row>
    <row r="43" spans="1:10" ht="12.75">
      <c r="A43" s="111" t="s">
        <v>163</v>
      </c>
      <c r="B43" s="303"/>
      <c r="C43" s="303"/>
      <c r="D43" s="303"/>
      <c r="E43" s="304"/>
      <c r="F43" s="142"/>
      <c r="G43" s="305"/>
      <c r="H43" s="306"/>
      <c r="I43" s="14"/>
      <c r="J43" s="14"/>
    </row>
    <row r="44" spans="1:10" ht="12.75">
      <c r="A44" s="69"/>
      <c r="B44" s="196"/>
      <c r="C44" s="196"/>
      <c r="D44" s="314" t="s">
        <v>148</v>
      </c>
      <c r="E44" s="315"/>
      <c r="F44" s="101"/>
      <c r="G44" s="154"/>
      <c r="H44" s="102"/>
      <c r="I44" s="14"/>
      <c r="J44" s="14"/>
    </row>
    <row r="45" spans="1:11" ht="13.5" thickBot="1">
      <c r="A45" s="69"/>
      <c r="B45" s="196"/>
      <c r="C45" s="196"/>
      <c r="D45" s="196"/>
      <c r="E45" s="100" t="s">
        <v>144</v>
      </c>
      <c r="F45" s="248"/>
      <c r="G45" s="189">
        <f>IF(AND(F$21&gt;99,F28&gt;0.05),F$46+2*9.6*H$42/(SQRT(G$41)),"  ")</f>
        <v>66.15336740047668</v>
      </c>
      <c r="H45" s="102"/>
      <c r="I45" s="14"/>
      <c r="J45"/>
      <c r="K45"/>
    </row>
    <row r="46" spans="1:11" ht="16.5" thickBot="1">
      <c r="A46" s="69"/>
      <c r="B46" s="196"/>
      <c r="C46" s="196"/>
      <c r="D46" s="196"/>
      <c r="E46" s="310" t="s">
        <v>146</v>
      </c>
      <c r="F46" s="312">
        <f>IF(AND(F$21&gt;99,F28&gt;0.05),9.6*H37-0.014*H42+3.96,"  ")</f>
        <v>62.9713</v>
      </c>
      <c r="G46" s="311"/>
      <c r="H46" s="102"/>
      <c r="I46" s="14"/>
      <c r="J46"/>
      <c r="K46"/>
    </row>
    <row r="47" spans="1:11" ht="12.75">
      <c r="A47" s="69"/>
      <c r="B47" s="196"/>
      <c r="C47" s="196"/>
      <c r="D47" s="196"/>
      <c r="E47" s="100" t="s">
        <v>145</v>
      </c>
      <c r="F47" s="248"/>
      <c r="G47" s="189">
        <f>IF(AND(F$21&gt;99,F28&gt;0.05),F$46-2*9.6*H$42/(SQRT(G$41)),"  ")</f>
        <v>59.78923259952331</v>
      </c>
      <c r="H47" s="102"/>
      <c r="I47" s="14"/>
      <c r="J47"/>
      <c r="K47"/>
    </row>
    <row r="48" spans="1:11" ht="13.5" thickBot="1">
      <c r="A48" s="72"/>
      <c r="B48" s="296"/>
      <c r="C48" s="296"/>
      <c r="D48" s="296"/>
      <c r="E48" s="307"/>
      <c r="F48" s="308"/>
      <c r="G48" s="155"/>
      <c r="H48" s="309"/>
      <c r="I48" s="14"/>
      <c r="J48"/>
      <c r="K48"/>
    </row>
    <row r="49" spans="1:10" ht="13.5" thickBot="1">
      <c r="A49" s="219"/>
      <c r="B49" s="220"/>
      <c r="C49" s="220"/>
      <c r="D49" s="220"/>
      <c r="E49" s="221"/>
      <c r="F49" s="234"/>
      <c r="G49" s="226"/>
      <c r="H49" s="235"/>
      <c r="I49" s="14"/>
      <c r="J49" s="14"/>
    </row>
    <row r="50" spans="1:10" ht="12.75" customHeight="1" thickBot="1">
      <c r="A50" s="111" t="s">
        <v>27</v>
      </c>
      <c r="B50" s="329"/>
      <c r="C50" s="330"/>
      <c r="D50" s="57"/>
      <c r="E50" s="71" t="s">
        <v>118</v>
      </c>
      <c r="F50" s="248">
        <f>ROUND((SQRT((F27*F27)))/F27,0)</f>
        <v>1</v>
      </c>
      <c r="G50" s="247"/>
      <c r="H50" s="249">
        <f>IF(F28&lt;0.005," ",ROUND((SQRT((F28*F28)))/F28,0))</f>
        <v>1</v>
      </c>
      <c r="I50" s="14"/>
      <c r="J50" s="14"/>
    </row>
    <row r="51" spans="1:8" ht="12.75">
      <c r="A51" s="49" t="s">
        <v>115</v>
      </c>
      <c r="B51" s="15"/>
      <c r="C51" s="15"/>
      <c r="D51" s="15"/>
      <c r="E51" s="15"/>
      <c r="F51" s="203" t="s">
        <v>8</v>
      </c>
      <c r="G51" s="139"/>
      <c r="H51" s="204" t="s">
        <v>10</v>
      </c>
    </row>
    <row r="52" spans="1:9" ht="12.75">
      <c r="A52" s="114"/>
      <c r="B52" s="196"/>
      <c r="C52" s="196"/>
      <c r="D52" s="196"/>
      <c r="E52" s="100" t="s">
        <v>11</v>
      </c>
      <c r="F52" s="197">
        <f>IF($F$27&lt;C24,"     ",F$27)</f>
        <v>2.23</v>
      </c>
      <c r="G52" s="15"/>
      <c r="H52" s="198">
        <f>IF($F$27&lt;C24,"     ",10*(F$52-C$24)/(E$24-C$24))</f>
        <v>6.15</v>
      </c>
      <c r="I52" s="14"/>
    </row>
    <row r="53" spans="1:9" ht="12.75">
      <c r="A53" s="193"/>
      <c r="B53" s="196"/>
      <c r="C53" s="196"/>
      <c r="D53" s="196"/>
      <c r="E53" s="100" t="s">
        <v>49</v>
      </c>
      <c r="F53" s="197">
        <f>IF(OR($F$21&lt;$E$24,$F$28&lt;0.05)," ",F$52-(TINV(0.05,$G55))*F$56/(SQRT($F$21)))</f>
        <v>2.164728982223168</v>
      </c>
      <c r="G53" s="15"/>
      <c r="H53" s="198">
        <f>IF(OR($F$21&lt;$E$24,$F$28&lt;0.05)," ",H$52-(TINV(0.05,$G$55))*H$56/(SQRT($F$21)))</f>
        <v>5.823644911115841</v>
      </c>
      <c r="I53" s="14"/>
    </row>
    <row r="54" spans="1:9" ht="12.75">
      <c r="A54" s="193"/>
      <c r="B54" s="196"/>
      <c r="C54" s="196"/>
      <c r="D54" s="196"/>
      <c r="E54" s="100" t="s">
        <v>50</v>
      </c>
      <c r="F54" s="197">
        <f>IF(OR(F$21&lt;E$24,F$28&lt;0.05)," ",F$52+(TINV(0.05,$G$55))*F56/(SQRT($F$21)))</f>
        <v>2.295271017776832</v>
      </c>
      <c r="G54" s="15"/>
      <c r="H54" s="198">
        <f>IF(OR(F$21&lt;E$24,F$28&lt;0.05)," ",H$52+(TINV(0.05,$G$55))*H56/(SQRT($F$21)))</f>
        <v>6.4763550888841594</v>
      </c>
      <c r="I54" s="14"/>
    </row>
    <row r="55" spans="1:9" ht="12.75">
      <c r="A55" s="193"/>
      <c r="B55" s="196"/>
      <c r="C55" s="196"/>
      <c r="D55" s="196"/>
      <c r="E55" s="200" t="s">
        <v>45</v>
      </c>
      <c r="F55" s="197">
        <f>IF($F$28&lt;0.05,"     ",F$28*F$28)</f>
        <v>0.16809999999999997</v>
      </c>
      <c r="G55" s="225">
        <f>IF(F21&gt;E24,F21-1,"")</f>
        <v>153</v>
      </c>
      <c r="H55" s="198">
        <f>IF($F$28&lt;0.05,"   ",H56*H56)</f>
        <v>4.2025</v>
      </c>
      <c r="I55" s="14"/>
    </row>
    <row r="56" spans="1:9" ht="13.5" thickBot="1">
      <c r="A56" s="193"/>
      <c r="B56" s="196"/>
      <c r="C56" s="196"/>
      <c r="D56" s="196"/>
      <c r="E56" s="200" t="s">
        <v>46</v>
      </c>
      <c r="F56" s="197">
        <f>IF($F$28&lt;0.05,"     ",F$28)</f>
        <v>0.41</v>
      </c>
      <c r="G56" s="237" t="str">
        <f>IF(F21&gt;E24,"df","")</f>
        <v>df</v>
      </c>
      <c r="H56" s="198">
        <f>IF($F$28&lt;0.05,"      ",10*F56/(E$24-C$24))</f>
        <v>2.05</v>
      </c>
      <c r="I56" s="14"/>
    </row>
    <row r="57" spans="1:9" ht="12.75">
      <c r="A57" s="49" t="s">
        <v>28</v>
      </c>
      <c r="B57" s="194"/>
      <c r="C57" s="194"/>
      <c r="D57" s="15"/>
      <c r="E57" s="199"/>
      <c r="F57" s="201" t="s">
        <v>8</v>
      </c>
      <c r="G57" s="236"/>
      <c r="H57" s="202" t="s">
        <v>10</v>
      </c>
      <c r="I57" s="14"/>
    </row>
    <row r="58" spans="1:9" ht="12.75">
      <c r="A58" s="193"/>
      <c r="B58" s="196"/>
      <c r="C58" s="196"/>
      <c r="D58" s="196"/>
      <c r="E58" s="200" t="s">
        <v>11</v>
      </c>
      <c r="F58" s="197">
        <f>IF(F27&lt;C24," ",$E$24+$C$24-F52)</f>
        <v>1.77</v>
      </c>
      <c r="G58" s="154"/>
      <c r="H58" s="198">
        <f>10-H52</f>
        <v>3.8499999999999996</v>
      </c>
      <c r="I58" s="14"/>
    </row>
    <row r="59" spans="1:9" ht="12.75">
      <c r="A59" s="193"/>
      <c r="B59" s="196"/>
      <c r="C59" s="196"/>
      <c r="D59" s="196"/>
      <c r="E59" s="100" t="s">
        <v>49</v>
      </c>
      <c r="F59" s="197">
        <f>IF(OR($F$21&lt;$E$24,$F$28&lt;0.05)," ",E$24+C$24-F54)</f>
        <v>1.704728982223168</v>
      </c>
      <c r="G59" s="154"/>
      <c r="H59" s="198">
        <f>IF(OR($F$21&lt;$E$24,$F$28&lt;0.05)," ",10-H54)</f>
        <v>3.5236449111158406</v>
      </c>
      <c r="I59" s="14"/>
    </row>
    <row r="60" spans="1:9" ht="13.5" thickBot="1">
      <c r="A60" s="193"/>
      <c r="B60" s="196"/>
      <c r="C60" s="196"/>
      <c r="D60" s="196"/>
      <c r="E60" s="100" t="s">
        <v>50</v>
      </c>
      <c r="F60" s="238">
        <f>IF(OR($F$21&lt;$E$24,$F$28&lt;0.05)," ",E$24+C$24-F53)</f>
        <v>1.835271017776832</v>
      </c>
      <c r="G60" s="154"/>
      <c r="H60" s="239">
        <f>IF(OR($F$21&lt;$E$24,$F$28&lt;0.05)," ",10-H53)</f>
        <v>4.176355088884159</v>
      </c>
      <c r="I60" s="14"/>
    </row>
    <row r="61" spans="1:9" ht="14.25" thickBot="1" thickTop="1">
      <c r="A61" s="182"/>
      <c r="B61" s="183"/>
      <c r="C61" s="183"/>
      <c r="D61" s="183"/>
      <c r="E61" s="185" t="s">
        <v>88</v>
      </c>
      <c r="F61" s="183"/>
      <c r="G61" s="183"/>
      <c r="H61" s="184"/>
      <c r="I61"/>
    </row>
    <row r="62" spans="1:9" ht="13.5" thickTop="1">
      <c r="A62"/>
      <c r="B62"/>
      <c r="C62"/>
      <c r="D62"/>
      <c r="E62" s="186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ht="12.75">
      <c r="F168" s="3"/>
    </row>
  </sheetData>
  <sheetProtection password="C550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EUR/FSW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WDH Toolkit for Distributions</dc:subject>
  <dc:creator>W.M. Kalmijn</dc:creator>
  <cp:keywords>Happiness distribution statistics</cp:keywords>
  <dc:description/>
  <cp:lastModifiedBy>Jan Ott</cp:lastModifiedBy>
  <cp:lastPrinted>2005-06-25T05:34:22Z</cp:lastPrinted>
  <dcterms:created xsi:type="dcterms:W3CDTF">1998-04-04T15:59:32Z</dcterms:created>
  <dcterms:modified xsi:type="dcterms:W3CDTF">2016-08-10T09:52:17Z</dcterms:modified>
  <cp:category/>
  <cp:version/>
  <cp:contentType/>
  <cp:contentStatus/>
</cp:coreProperties>
</file>