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70" windowHeight="6540" activeTab="0"/>
  </bookViews>
  <sheets>
    <sheet name="Excerpt WDH" sheetId="1" r:id="rId1"/>
    <sheet name="Info" sheetId="2" r:id="rId2"/>
    <sheet name="Statistics" sheetId="3" r:id="rId3"/>
    <sheet name="Pairs" sheetId="4" r:id="rId4"/>
    <sheet name="Frequencies" sheetId="5" r:id="rId5"/>
    <sheet name="Varcalc" sheetId="6" r:id="rId6"/>
  </sheets>
  <definedNames/>
  <calcPr fullCalcOnLoad="1"/>
</workbook>
</file>

<file path=xl/sharedStrings.xml><?xml version="1.0" encoding="utf-8"?>
<sst xmlns="http://schemas.openxmlformats.org/spreadsheetml/2006/main" count="251" uniqueCount="202">
  <si>
    <t>SUM</t>
  </si>
  <si>
    <t>Number of rows (max. 12)</t>
  </si>
  <si>
    <t>Number of columns (do.)</t>
  </si>
  <si>
    <t>Type  input data</t>
  </si>
  <si>
    <t>INPUT MATRIX</t>
  </si>
  <si>
    <t>Total number of observations  N =</t>
  </si>
  <si>
    <t>3 = percentages  (sum of each row = 100 %)</t>
  </si>
  <si>
    <t>2 = percentages  (sum of all cells = 100 %)</t>
  </si>
  <si>
    <t>4 = percentages  (sum of each column = 100 %)</t>
  </si>
  <si>
    <t xml:space="preserve">     SUM</t>
  </si>
  <si>
    <t>Frq.</t>
  </si>
  <si>
    <t>Perc.</t>
  </si>
  <si>
    <t>Freq.</t>
  </si>
  <si>
    <t>ABSOLUTE FREQUENCIES</t>
  </si>
  <si>
    <t>VERY</t>
  </si>
  <si>
    <t>HAPPY</t>
  </si>
  <si>
    <t>UNHAPPY</t>
  </si>
  <si>
    <t>Happiness</t>
  </si>
  <si>
    <t>Sum of all 12 x 12 matrix cells =</t>
  </si>
  <si>
    <t>RECOMMENDATION:</t>
  </si>
  <si>
    <t xml:space="preserve">   Clear all  yellow input cells below before using this table.</t>
  </si>
  <si>
    <t xml:space="preserve">  (low ------ high)</t>
  </si>
  <si>
    <t>1 = absolute frequencies only</t>
  </si>
  <si>
    <t>ORIGIN</t>
  </si>
  <si>
    <t>(copied from input)</t>
  </si>
  <si>
    <t>TX-PAIRS:</t>
  </si>
  <si>
    <t>TY-PAIRS</t>
  </si>
  <si>
    <t>TXY-PAIRS:</t>
  </si>
  <si>
    <t xml:space="preserve">  Number of observations</t>
  </si>
  <si>
    <t xml:space="preserve">  Number of rows ( &lt;13)</t>
  </si>
  <si>
    <t xml:space="preserve">  Number of  x- tied pairs  (TX)</t>
  </si>
  <si>
    <t xml:space="preserve">  Number of x and y-tied pairs (TXY)</t>
  </si>
  <si>
    <t xml:space="preserve">  Number of columns (&lt;13)</t>
  </si>
  <si>
    <t xml:space="preserve">   PAIRS:</t>
  </si>
  <si>
    <t xml:space="preserve">  Number of concordant pairs (C)</t>
  </si>
  <si>
    <t xml:space="preserve">  Number of discordant pairs (D)</t>
  </si>
  <si>
    <t xml:space="preserve">Total number of concordant pairs =         </t>
  </si>
  <si>
    <t xml:space="preserve">Total number of discordant pairs =         </t>
  </si>
  <si>
    <t xml:space="preserve">Total number of TX-pairs = </t>
  </si>
  <si>
    <t xml:space="preserve">Total number of TY-pairs = </t>
  </si>
  <si>
    <t xml:space="preserve">Total number of TXY-pairs = </t>
  </si>
  <si>
    <t xml:space="preserve">  Total number of pairs (theoretically)</t>
  </si>
  <si>
    <t xml:space="preserve">  Total number of pairs  (sum)</t>
  </si>
  <si>
    <t xml:space="preserve">  Number of  y- tied pairs  (TY)</t>
  </si>
  <si>
    <t xml:space="preserve">  Minimum (r,c)</t>
  </si>
  <si>
    <t xml:space="preserve">  TAU - B</t>
  </si>
  <si>
    <t>P2-value</t>
  </si>
  <si>
    <t>CONCORDANT PAIRS:</t>
  </si>
  <si>
    <t>DISCORDANT PAIRS:</t>
  </si>
  <si>
    <t xml:space="preserve">    CONVERSION  of  OTHER STATISTICS into  TAU - C.</t>
  </si>
  <si>
    <t>Study design</t>
  </si>
  <si>
    <t>Highest possible happiness score</t>
  </si>
  <si>
    <t>Lowest possible happiness score</t>
  </si>
  <si>
    <t>Type of statistic</t>
  </si>
  <si>
    <t>OUTPUT:</t>
  </si>
  <si>
    <t>Number of pairs</t>
  </si>
  <si>
    <t>Gamma</t>
  </si>
  <si>
    <t>P2 - value</t>
  </si>
  <si>
    <t>Number of observations</t>
  </si>
  <si>
    <t>Reported statistics:</t>
  </si>
  <si>
    <t>AUXLIARY VARIABLES:</t>
  </si>
  <si>
    <t>do. in scientific format</t>
  </si>
  <si>
    <t>INPUT:</t>
  </si>
  <si>
    <t xml:space="preserve">      ASSOCIATION MEASURES in CROSS TABULATIONS  (MEASUREMENTS at the ORDINAL LEVEL).</t>
  </si>
  <si>
    <t xml:space="preserve">          S T A T I S T I C S .</t>
  </si>
  <si>
    <t>|</t>
  </si>
  <si>
    <t>^</t>
  </si>
  <si>
    <t>-----------------&gt;</t>
  </si>
  <si>
    <t>Numerical value  [-1;+1]</t>
  </si>
  <si>
    <t>Algebraic sign of statistics</t>
  </si>
  <si>
    <t>P2 - value           [ 0; 1]</t>
  </si>
  <si>
    <t>Number of levels of correlate (&gt;1)</t>
  </si>
  <si>
    <t xml:space="preserve">       Any other statistic can be coverted into  TAU-C, provided its P2-value is also known, since</t>
  </si>
  <si>
    <t xml:space="preserve">       Similar statements do not hold for conversion into the other statistics.</t>
  </si>
  <si>
    <t>Total  input absolute frequency =</t>
  </si>
  <si>
    <t>W.M. Kalmijn</t>
  </si>
  <si>
    <t>---&gt;&gt;</t>
  </si>
  <si>
    <t>----&gt;&gt;</t>
  </si>
  <si>
    <t>S   TABLE</t>
  </si>
  <si>
    <t>D   TABLE</t>
  </si>
  <si>
    <t>T   TABLE</t>
  </si>
  <si>
    <t>TABLE FOR PSS</t>
  </si>
  <si>
    <t>TABLE FOR PDD</t>
  </si>
  <si>
    <t>TABLE FOR PSD</t>
  </si>
  <si>
    <t>(after multiplication with cell frequencies)</t>
  </si>
  <si>
    <t xml:space="preserve">Total  table sum = </t>
  </si>
  <si>
    <t>st. dev.  (Gamma) =</t>
  </si>
  <si>
    <t>PAIRS:</t>
  </si>
  <si>
    <t>(S-D)(S-D)   table</t>
  </si>
  <si>
    <t>------&gt;&gt;</t>
  </si>
  <si>
    <t xml:space="preserve"> standard dev. (TAU-C) =</t>
  </si>
  <si>
    <t xml:space="preserve">min(r,c) = </t>
  </si>
  <si>
    <t>SUM x SUM</t>
  </si>
  <si>
    <t xml:space="preserve">wc = </t>
  </si>
  <si>
    <t>wr  =</t>
  </si>
  <si>
    <t xml:space="preserve">st. dev. (Somers d)  = </t>
  </si>
  <si>
    <t xml:space="preserve">                           TAU-C = f (nr. observations,  P2-value)</t>
  </si>
  <si>
    <t>TABLE FOR  VAR (TAU-B)</t>
  </si>
  <si>
    <t xml:space="preserve">st. dev. (TAU-b)  = </t>
  </si>
  <si>
    <t>CALCULATION OF VARIANCES.</t>
  </si>
  <si>
    <t>SOMERS  Table for D(C/R)</t>
  </si>
  <si>
    <t>SOMERS  Table for D(R/C)</t>
  </si>
  <si>
    <t xml:space="preserve">  w = </t>
  </si>
  <si>
    <t xml:space="preserve">  SOMERS  d (asymmetric)</t>
  </si>
  <si>
    <t xml:space="preserve">  SOMERS  d (symmetric)</t>
  </si>
  <si>
    <t xml:space="preserve">  do  (happiness as independent variable)</t>
  </si>
  <si>
    <t>FEATURES of this PROGRAMME.</t>
  </si>
  <si>
    <t>level.</t>
  </si>
  <si>
    <t>3.   The input  is accepted in various forms:  as absolute frequencies, as as total, as horiontal or as vertical</t>
  </si>
  <si>
    <t xml:space="preserve">      specified  carefully.</t>
  </si>
  <si>
    <t xml:space="preserve">      percentages together with the appropriate boundary total frequencies. The 'type'  of input has to be</t>
  </si>
  <si>
    <t>4.   The programme calculates various test statistics together with their P2-values, both in the 'normal' and</t>
  </si>
  <si>
    <t xml:space="preserve">      only, and can be ignored by the user.</t>
  </si>
  <si>
    <t xml:space="preserve">      gives the output for item 6. The sheets "Pairs"  and  "Varcalc"  contain intermediate  computations</t>
  </si>
  <si>
    <t>CONVERSION INTO ABSOLUTE FREQUENCIES:</t>
  </si>
  <si>
    <t>1.   This programme has been devised for the analysis of data when the correlate is measured at the</t>
  </si>
  <si>
    <t xml:space="preserve">      ordinal</t>
  </si>
  <si>
    <t>CORRELATE  value/level  code</t>
  </si>
  <si>
    <t xml:space="preserve">      conversion, the P2-value of the 'original'  test statistic is to be used,  which therefore should be known.</t>
  </si>
  <si>
    <t>5.   For comparison purposes, the programme allows to convert the various statistics into the corresponding</t>
  </si>
  <si>
    <t xml:space="preserve">      TAU-c value, which depends on the total number of observations and  the P2-value only. For this</t>
  </si>
  <si>
    <t xml:space="preserve">      and the negative direction.</t>
  </si>
  <si>
    <t xml:space="preserve">      The programme uses P2-values, since all  above statistics can deviate from zero  both in the positive</t>
  </si>
  <si>
    <t>PS   TABLE</t>
  </si>
  <si>
    <t>PD   TABLE</t>
  </si>
  <si>
    <t xml:space="preserve">Table sum = </t>
  </si>
  <si>
    <t>Large sample value of the</t>
  </si>
  <si>
    <t>CHECK TAU-B:</t>
  </si>
  <si>
    <t xml:space="preserve">  GAMMA (Goodman &amp; Kruskal)</t>
  </si>
  <si>
    <t>TABLE FOR S.D. (GAMMA).</t>
  </si>
  <si>
    <t>Concordant:</t>
  </si>
  <si>
    <t>Discordant:</t>
  </si>
  <si>
    <t>C-D</t>
  </si>
  <si>
    <t xml:space="preserve">st. dev. (GAMMA)  = </t>
  </si>
  <si>
    <t>(check)</t>
  </si>
  <si>
    <t xml:space="preserve">  Large Sample standard deviation of TAU</t>
  </si>
  <si>
    <t>St.dev.</t>
  </si>
  <si>
    <t>Statistic</t>
  </si>
  <si>
    <t xml:space="preserve">  Value of  (C - D)</t>
  </si>
  <si>
    <t xml:space="preserve">  TAU - C</t>
  </si>
  <si>
    <t xml:space="preserve">      the scientific format. These statistics are:  TAU-b (recommended only if the numbers of rows and </t>
  </si>
  <si>
    <t xml:space="preserve">      columns are equal), Kendall's TAU-c,  Goodman and Kruskal's  GAMMA  and the Somers'  d-statistics.</t>
  </si>
  <si>
    <t>Total number of observations Ne =</t>
  </si>
  <si>
    <t>WORLD  DATABASE  OF HAPPINESS           CORRELATIONAL    FINDINGS</t>
  </si>
  <si>
    <t>Added spreadsheet  for findings  type</t>
  </si>
  <si>
    <t>File name (study code):</t>
  </si>
  <si>
    <t xml:space="preserve">Number of subjects studied </t>
  </si>
  <si>
    <t>"Happiness" scale  (vertical):</t>
  </si>
  <si>
    <t xml:space="preserve">   Highest possible score</t>
  </si>
  <si>
    <t xml:space="preserve">   Lowest possible score</t>
  </si>
  <si>
    <t xml:space="preserve">   Number of rows (maximum 12)</t>
  </si>
  <si>
    <t>Correlate (independent) variable (horizontal):</t>
  </si>
  <si>
    <t xml:space="preserve">   Number of  columns (levels)</t>
  </si>
  <si>
    <t xml:space="preserve"> (maximum 12)</t>
  </si>
  <si>
    <t xml:space="preserve">   Specification: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</si>
  <si>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</si>
  <si>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</si>
  <si>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</si>
  <si>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</si>
  <si>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</si>
  <si>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</si>
  <si>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</si>
  <si>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</si>
  <si>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</si>
  <si>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</si>
  <si>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</si>
  <si>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</si>
  <si>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INPUT AS  CROSS TABULATION OF OBSERVED FREQUENCIES:</t>
  </si>
  <si>
    <t>(Type of input data code 1, 2, 3, or 4)</t>
  </si>
  <si>
    <t>#DK/NA (if information available)=</t>
  </si>
  <si>
    <t>Happiness: ordinal         Correlate:  Ordinal</t>
  </si>
  <si>
    <t xml:space="preserve">(if known) </t>
  </si>
  <si>
    <t>TAU - C              (approximately)</t>
  </si>
  <si>
    <t xml:space="preserve">       to calculate  TAU-C  from the original data !!!</t>
  </si>
  <si>
    <t xml:space="preserve">       However, the results obtained below in this way are to be considered as  fairly rough</t>
  </si>
  <si>
    <t xml:space="preserve">       Therefore, if the original cross table is still available, it is strongly recommended </t>
  </si>
  <si>
    <t xml:space="preserve">       approximations.+</t>
  </si>
  <si>
    <t>(excluding DK/NA)</t>
  </si>
  <si>
    <t xml:space="preserve"> (optional)</t>
  </si>
  <si>
    <t>2.   The happiness measurements are possible on scales up to 12 points.</t>
  </si>
  <si>
    <t xml:space="preserve">      The correlate can be varied too at 12 levels as a maximum.</t>
  </si>
  <si>
    <t>6.   The output is found in the sheet  "Statistics"   for the items  4 . and 5., whereas the sheet "Means"</t>
  </si>
  <si>
    <t>7.   All sheets are protected, except the yellow coloured  input cells.  Output cells have a green colour.</t>
  </si>
  <si>
    <t>Vóór je verder gaat éérst dit S-sheet onder 
de naam  &lt;studycode&gt;  opslaan in de map 
"S-sheets", bijvoorbeeld als CARLA1989 !!!</t>
  </si>
  <si>
    <t>20-29</t>
  </si>
  <si>
    <t>30-39</t>
  </si>
  <si>
    <t>40-49</t>
  </si>
  <si>
    <t>Correlate:</t>
  </si>
  <si>
    <t>NOTE:  In all tables below, some  numbers &gt; 99999 are represented as  #####, but act in calculations as numbers.</t>
  </si>
  <si>
    <t xml:space="preserve"> =</t>
  </si>
  <si>
    <t>Standard deviation</t>
  </si>
  <si>
    <t>NOTE:  In all tables below, some numbers &gt; 99999 are represented as  #####, but act in calculations as numbers.</t>
  </si>
  <si>
    <t>Average value</t>
  </si>
  <si>
    <t>Age category (years)</t>
  </si>
  <si>
    <t>Average happiness values</t>
  </si>
  <si>
    <t>CARLA 1989</t>
  </si>
  <si>
    <t>(copied or calculated from input)</t>
  </si>
  <si>
    <r>
      <rPr>
        <sz val="10"/>
        <rFont val="Verdana"/>
        <family val="2"/>
      </rPr>
      <t xml:space="preserve">©   </t>
    </r>
    <r>
      <rPr>
        <sz val="10"/>
        <rFont val="Arial"/>
        <family val="2"/>
      </rPr>
      <t xml:space="preserve"> W.M. Kalmijn</t>
    </r>
  </si>
  <si>
    <t>2011-07-14</t>
  </si>
  <si>
    <t>14 July 2011</t>
  </si>
  <si>
    <t>c</t>
  </si>
  <si>
    <t xml:space="preserve">   Reversed scale? No = 0, Yes = 1 </t>
  </si>
</sst>
</file>

<file path=xl/styles.xml><?xml version="1.0" encoding="utf-8"?>
<styleSheet xmlns="http://schemas.openxmlformats.org/spreadsheetml/2006/main">
  <numFmts count="4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_);\(&quot;fl&quot;\ #,##0\)"/>
    <numFmt numFmtId="179" formatCode="&quot;fl&quot;\ #,##0_);[Red]\(&quot;fl&quot;\ #,##0\)"/>
    <numFmt numFmtId="180" formatCode="&quot;fl&quot;\ #,##0.00_);\(&quot;fl&quot;\ #,##0.00\)"/>
    <numFmt numFmtId="181" formatCode="&quot;fl&quot;\ #,##0.00_);[Red]\(&quot;fl&quot;\ #,##0.00\)"/>
    <numFmt numFmtId="182" formatCode="_(&quot;fl&quot;\ * #,##0_);_(&quot;fl&quot;\ * \(#,##0\);_(&quot;fl&quot;\ * &quot;-&quot;_);_(@_)"/>
    <numFmt numFmtId="183" formatCode="_(&quot;fl&quot;\ * #,##0.00_);_(&quot;fl&quot;\ * \(#,##0.00\);_(&quot;fl&quot;\ * &quot;-&quot;??_);_(@_)"/>
    <numFmt numFmtId="184" formatCode="0.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"/>
    <numFmt numFmtId="192" formatCode="0.0000E+00;\樠"/>
    <numFmt numFmtId="193" formatCode="0.0000E+00;\댴"/>
    <numFmt numFmtId="194" formatCode="0.000E+00;\댴"/>
    <numFmt numFmtId="195" formatCode="0.00E+00;\댴"/>
    <numFmt numFmtId="196" formatCode="0.0E+00"/>
    <numFmt numFmtId="197" formatCode="0.0000000000"/>
    <numFmt numFmtId="198" formatCode="0.E+00"/>
    <numFmt numFmtId="199" formatCode="[$-413]dddd\ d\ mmmm\ yyyy"/>
  </numFmts>
  <fonts count="69">
    <font>
      <sz val="10"/>
      <name val="Arial"/>
      <family val="0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3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10"/>
      <color indexed="3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3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1" fillId="35" borderId="16" xfId="0" applyFont="1" applyFill="1" applyBorder="1" applyAlignment="1" applyProtection="1">
      <alignment/>
      <protection locked="0"/>
    </xf>
    <xf numFmtId="0" fontId="1" fillId="35" borderId="17" xfId="0" applyFont="1" applyFill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 locked="0"/>
    </xf>
    <xf numFmtId="0" fontId="1" fillId="35" borderId="20" xfId="0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1" fillId="35" borderId="30" xfId="0" applyFont="1" applyFill="1" applyBorder="1" applyAlignment="1" applyProtection="1">
      <alignment/>
      <protection locked="0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5" xfId="0" applyFill="1" applyBorder="1" applyAlignment="1">
      <alignment/>
    </xf>
    <xf numFmtId="0" fontId="0" fillId="34" borderId="26" xfId="0" applyFill="1" applyBorder="1" applyAlignment="1">
      <alignment/>
    </xf>
    <xf numFmtId="0" fontId="1" fillId="0" borderId="0" xfId="0" applyFont="1" applyAlignment="1">
      <alignment/>
    </xf>
    <xf numFmtId="0" fontId="1" fillId="35" borderId="35" xfId="0" applyFont="1" applyFill="1" applyBorder="1" applyAlignment="1" applyProtection="1">
      <alignment horizontal="center"/>
      <protection locked="0"/>
    </xf>
    <xf numFmtId="1" fontId="0" fillId="36" borderId="36" xfId="0" applyNumberFormat="1" applyFont="1" applyFill="1" applyBorder="1" applyAlignment="1" applyProtection="1">
      <alignment horizontal="center"/>
      <protection/>
    </xf>
    <xf numFmtId="1" fontId="0" fillId="36" borderId="16" xfId="0" applyNumberFormat="1" applyFont="1" applyFill="1" applyBorder="1" applyAlignment="1" applyProtection="1">
      <alignment horizontal="center"/>
      <protection/>
    </xf>
    <xf numFmtId="1" fontId="0" fillId="36" borderId="37" xfId="0" applyNumberFormat="1" applyFont="1" applyFill="1" applyBorder="1" applyAlignment="1" applyProtection="1">
      <alignment horizontal="center"/>
      <protection/>
    </xf>
    <xf numFmtId="1" fontId="0" fillId="36" borderId="18" xfId="0" applyNumberFormat="1" applyFont="1" applyFill="1" applyBorder="1" applyAlignment="1" applyProtection="1">
      <alignment horizontal="center"/>
      <protection/>
    </xf>
    <xf numFmtId="1" fontId="0" fillId="36" borderId="35" xfId="0" applyNumberFormat="1" applyFont="1" applyFill="1" applyBorder="1" applyAlignment="1" applyProtection="1">
      <alignment horizontal="center"/>
      <protection/>
    </xf>
    <xf numFmtId="184" fontId="0" fillId="36" borderId="38" xfId="0" applyNumberFormat="1" applyFill="1" applyBorder="1" applyAlignment="1" applyProtection="1">
      <alignment/>
      <protection/>
    </xf>
    <xf numFmtId="184" fontId="0" fillId="36" borderId="39" xfId="0" applyNumberFormat="1" applyFill="1" applyBorder="1" applyAlignment="1" applyProtection="1">
      <alignment/>
      <protection/>
    </xf>
    <xf numFmtId="184" fontId="0" fillId="36" borderId="40" xfId="0" applyNumberFormat="1" applyFill="1" applyBorder="1" applyAlignment="1" applyProtection="1">
      <alignment/>
      <protection/>
    </xf>
    <xf numFmtId="184" fontId="0" fillId="36" borderId="41" xfId="0" applyNumberFormat="1" applyFill="1" applyBorder="1" applyAlignment="1" applyProtection="1">
      <alignment horizontal="center"/>
      <protection/>
    </xf>
    <xf numFmtId="184" fontId="0" fillId="36" borderId="42" xfId="0" applyNumberFormat="1" applyFill="1" applyBorder="1" applyAlignment="1" applyProtection="1">
      <alignment horizontal="center"/>
      <protection/>
    </xf>
    <xf numFmtId="184" fontId="0" fillId="36" borderId="43" xfId="0" applyNumberFormat="1" applyFill="1" applyBorder="1" applyAlignment="1" applyProtection="1">
      <alignment horizontal="center"/>
      <protection/>
    </xf>
    <xf numFmtId="184" fontId="0" fillId="36" borderId="30" xfId="0" applyNumberFormat="1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" fontId="0" fillId="36" borderId="41" xfId="0" applyNumberFormat="1" applyFont="1" applyFill="1" applyBorder="1" applyAlignment="1" applyProtection="1">
      <alignment horizontal="center"/>
      <protection/>
    </xf>
    <xf numFmtId="1" fontId="0" fillId="36" borderId="42" xfId="0" applyNumberFormat="1" applyFont="1" applyFill="1" applyBorder="1" applyAlignment="1" applyProtection="1">
      <alignment horizontal="center"/>
      <protection/>
    </xf>
    <xf numFmtId="1" fontId="0" fillId="36" borderId="38" xfId="0" applyNumberFormat="1" applyFont="1" applyFill="1" applyBorder="1" applyAlignment="1" applyProtection="1">
      <alignment horizontal="center"/>
      <protection/>
    </xf>
    <xf numFmtId="1" fontId="0" fillId="36" borderId="39" xfId="0" applyNumberFormat="1" applyFont="1" applyFill="1" applyBorder="1" applyAlignment="1" applyProtection="1">
      <alignment horizontal="center"/>
      <protection/>
    </xf>
    <xf numFmtId="1" fontId="6" fillId="36" borderId="36" xfId="0" applyNumberFormat="1" applyFont="1" applyFill="1" applyBorder="1" applyAlignment="1" applyProtection="1">
      <alignment horizontal="center"/>
      <protection/>
    </xf>
    <xf numFmtId="1" fontId="6" fillId="36" borderId="16" xfId="0" applyNumberFormat="1" applyFont="1" applyFill="1" applyBorder="1" applyAlignment="1" applyProtection="1">
      <alignment horizontal="center"/>
      <protection/>
    </xf>
    <xf numFmtId="1" fontId="6" fillId="36" borderId="17" xfId="0" applyNumberFormat="1" applyFont="1" applyFill="1" applyBorder="1" applyAlignment="1" applyProtection="1">
      <alignment horizontal="center"/>
      <protection/>
    </xf>
    <xf numFmtId="1" fontId="6" fillId="36" borderId="37" xfId="0" applyNumberFormat="1" applyFont="1" applyFill="1" applyBorder="1" applyAlignment="1" applyProtection="1">
      <alignment horizontal="center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6" fillId="36" borderId="44" xfId="0" applyNumberFormat="1" applyFont="1" applyFill="1" applyBorder="1" applyAlignment="1" applyProtection="1">
      <alignment horizontal="center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6" fillId="36" borderId="21" xfId="0" applyNumberFormat="1" applyFont="1" applyFill="1" applyBorder="1" applyAlignment="1" applyProtection="1">
      <alignment horizontal="center"/>
      <protection/>
    </xf>
    <xf numFmtId="3" fontId="0" fillId="36" borderId="18" xfId="0" applyNumberForma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190" fontId="0" fillId="36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36" borderId="18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36" borderId="41" xfId="0" applyFont="1" applyFill="1" applyBorder="1" applyAlignment="1" applyProtection="1">
      <alignment horizontal="center"/>
      <protection/>
    </xf>
    <xf numFmtId="0" fontId="0" fillId="36" borderId="43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190" fontId="0" fillId="36" borderId="45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34" borderId="25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5" borderId="48" xfId="0" applyFont="1" applyFill="1" applyBorder="1" applyAlignment="1" applyProtection="1">
      <alignment horizontal="left"/>
      <protection locked="0"/>
    </xf>
    <xf numFmtId="0" fontId="1" fillId="35" borderId="49" xfId="0" applyFont="1" applyFill="1" applyBorder="1" applyAlignment="1" applyProtection="1">
      <alignment horizontal="left"/>
      <protection locked="0"/>
    </xf>
    <xf numFmtId="0" fontId="1" fillId="0" borderId="50" xfId="0" applyFont="1" applyFill="1" applyBorder="1" applyAlignment="1" applyProtection="1">
      <alignment horizontal="center"/>
      <protection locked="0"/>
    </xf>
    <xf numFmtId="0" fontId="0" fillId="0" borderId="51" xfId="0" applyBorder="1" applyAlignment="1">
      <alignment/>
    </xf>
    <xf numFmtId="0" fontId="3" fillId="34" borderId="52" xfId="0" applyFont="1" applyFill="1" applyBorder="1" applyAlignment="1">
      <alignment/>
    </xf>
    <xf numFmtId="0" fontId="0" fillId="0" borderId="53" xfId="0" applyBorder="1" applyAlignment="1">
      <alignment/>
    </xf>
    <xf numFmtId="0" fontId="1" fillId="0" borderId="53" xfId="0" applyFont="1" applyBorder="1" applyAlignment="1">
      <alignment/>
    </xf>
    <xf numFmtId="0" fontId="7" fillId="0" borderId="53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53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right"/>
    </xf>
    <xf numFmtId="0" fontId="0" fillId="36" borderId="35" xfId="0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59" xfId="0" applyFill="1" applyBorder="1" applyAlignment="1">
      <alignment horizontal="right"/>
    </xf>
    <xf numFmtId="3" fontId="0" fillId="36" borderId="60" xfId="0" applyNumberFormat="1" applyFill="1" applyBorder="1" applyAlignment="1">
      <alignment/>
    </xf>
    <xf numFmtId="3" fontId="0" fillId="36" borderId="42" xfId="0" applyNumberFormat="1" applyFill="1" applyBorder="1" applyAlignment="1">
      <alignment/>
    </xf>
    <xf numFmtId="3" fontId="0" fillId="36" borderId="43" xfId="0" applyNumberFormat="1" applyFill="1" applyBorder="1" applyAlignment="1" applyProtection="1">
      <alignment/>
      <protection/>
    </xf>
    <xf numFmtId="3" fontId="0" fillId="36" borderId="41" xfId="0" applyNumberFormat="1" applyFill="1" applyBorder="1" applyAlignment="1" applyProtection="1">
      <alignment/>
      <protection/>
    </xf>
    <xf numFmtId="190" fontId="6" fillId="36" borderId="18" xfId="0" applyNumberFormat="1" applyFont="1" applyFill="1" applyBorder="1" applyAlignment="1">
      <alignment/>
    </xf>
    <xf numFmtId="3" fontId="0" fillId="36" borderId="42" xfId="0" applyNumberFormat="1" applyFill="1" applyBorder="1" applyAlignment="1" applyProtection="1">
      <alignment/>
      <protection/>
    </xf>
    <xf numFmtId="190" fontId="2" fillId="36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35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1" fillId="0" borderId="63" xfId="0" applyFont="1" applyBorder="1" applyAlignment="1">
      <alignment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Alignment="1">
      <alignment horizontal="center"/>
    </xf>
    <xf numFmtId="198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3" fontId="0" fillId="0" borderId="60" xfId="0" applyNumberFormat="1" applyBorder="1" applyAlignment="1">
      <alignment horizontal="center"/>
    </xf>
    <xf numFmtId="0" fontId="11" fillId="0" borderId="0" xfId="0" applyFont="1" applyAlignment="1">
      <alignment/>
    </xf>
    <xf numFmtId="3" fontId="1" fillId="35" borderId="18" xfId="0" applyNumberFormat="1" applyFont="1" applyFill="1" applyBorder="1" applyAlignment="1" applyProtection="1">
      <alignment horizontal="center"/>
      <protection locked="0"/>
    </xf>
    <xf numFmtId="190" fontId="1" fillId="35" borderId="18" xfId="0" applyNumberFormat="1" applyFont="1" applyFill="1" applyBorder="1" applyAlignment="1" applyProtection="1">
      <alignment horizontal="center"/>
      <protection locked="0"/>
    </xf>
    <xf numFmtId="190" fontId="6" fillId="36" borderId="18" xfId="0" applyNumberFormat="1" applyFont="1" applyFill="1" applyBorder="1" applyAlignment="1">
      <alignment horizontal="center"/>
    </xf>
    <xf numFmtId="190" fontId="6" fillId="0" borderId="0" xfId="0" applyNumberFormat="1" applyFont="1" applyAlignment="1">
      <alignment horizontal="center"/>
    </xf>
    <xf numFmtId="190" fontId="0" fillId="36" borderId="48" xfId="0" applyNumberFormat="1" applyFill="1" applyBorder="1" applyAlignment="1">
      <alignment horizontal="center"/>
    </xf>
    <xf numFmtId="190" fontId="0" fillId="0" borderId="67" xfId="0" applyNumberFormat="1" applyFill="1" applyBorder="1" applyAlignment="1">
      <alignment horizontal="center"/>
    </xf>
    <xf numFmtId="190" fontId="0" fillId="0" borderId="50" xfId="0" applyNumberFormat="1" applyFill="1" applyBorder="1" applyAlignment="1">
      <alignment horizontal="center"/>
    </xf>
    <xf numFmtId="11" fontId="0" fillId="0" borderId="68" xfId="0" applyNumberFormat="1" applyFill="1" applyBorder="1" applyAlignment="1">
      <alignment horizontal="center"/>
    </xf>
    <xf numFmtId="0" fontId="12" fillId="34" borderId="69" xfId="0" applyFont="1" applyFill="1" applyBorder="1" applyAlignment="1">
      <alignment/>
    </xf>
    <xf numFmtId="0" fontId="12" fillId="34" borderId="70" xfId="0" applyFont="1" applyFill="1" applyBorder="1" applyAlignment="1">
      <alignment/>
    </xf>
    <xf numFmtId="0" fontId="12" fillId="34" borderId="7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72" xfId="0" applyBorder="1" applyAlignment="1">
      <alignment/>
    </xf>
    <xf numFmtId="0" fontId="0" fillId="35" borderId="73" xfId="0" applyFill="1" applyBorder="1" applyAlignment="1" applyProtection="1">
      <alignment/>
      <protection locked="0"/>
    </xf>
    <xf numFmtId="0" fontId="0" fillId="35" borderId="74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3" borderId="46" xfId="0" applyFill="1" applyBorder="1" applyAlignment="1">
      <alignment horizontal="center"/>
    </xf>
    <xf numFmtId="0" fontId="0" fillId="35" borderId="33" xfId="0" applyFill="1" applyBorder="1" applyAlignment="1" applyProtection="1">
      <alignment/>
      <protection locked="0"/>
    </xf>
    <xf numFmtId="0" fontId="0" fillId="35" borderId="75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3" borderId="31" xfId="0" applyFill="1" applyBorder="1" applyAlignment="1">
      <alignment horizontal="center"/>
    </xf>
    <xf numFmtId="0" fontId="0" fillId="35" borderId="34" xfId="0" applyFill="1" applyBorder="1" applyAlignment="1" applyProtection="1">
      <alignment/>
      <protection locked="0"/>
    </xf>
    <xf numFmtId="0" fontId="0" fillId="35" borderId="76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3" borderId="7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3" fontId="0" fillId="36" borderId="18" xfId="0" applyNumberFormat="1" applyFill="1" applyBorder="1" applyAlignment="1" applyProtection="1">
      <alignment horizontal="center"/>
      <protection/>
    </xf>
    <xf numFmtId="0" fontId="0" fillId="0" borderId="55" xfId="0" applyBorder="1" applyAlignment="1">
      <alignment horizontal="right"/>
    </xf>
    <xf numFmtId="0" fontId="11" fillId="0" borderId="55" xfId="0" applyFont="1" applyBorder="1" applyAlignment="1">
      <alignment/>
    </xf>
    <xf numFmtId="0" fontId="7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>
      <alignment/>
    </xf>
    <xf numFmtId="0" fontId="0" fillId="0" borderId="47" xfId="0" applyFill="1" applyBorder="1" applyAlignment="1" applyProtection="1">
      <alignment horizontal="center"/>
      <protection/>
    </xf>
    <xf numFmtId="0" fontId="11" fillId="0" borderId="5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" fontId="17" fillId="36" borderId="36" xfId="0" applyNumberFormat="1" applyFont="1" applyFill="1" applyBorder="1" applyAlignment="1" applyProtection="1">
      <alignment horizontal="center"/>
      <protection/>
    </xf>
    <xf numFmtId="1" fontId="17" fillId="36" borderId="16" xfId="0" applyNumberFormat="1" applyFont="1" applyFill="1" applyBorder="1" applyAlignment="1" applyProtection="1">
      <alignment horizontal="center"/>
      <protection/>
    </xf>
    <xf numFmtId="1" fontId="17" fillId="36" borderId="17" xfId="0" applyNumberFormat="1" applyFont="1" applyFill="1" applyBorder="1" applyAlignment="1" applyProtection="1">
      <alignment horizontal="center"/>
      <protection/>
    </xf>
    <xf numFmtId="1" fontId="17" fillId="36" borderId="41" xfId="0" applyNumberFormat="1" applyFont="1" applyFill="1" applyBorder="1" applyAlignment="1" applyProtection="1">
      <alignment horizontal="center"/>
      <protection/>
    </xf>
    <xf numFmtId="1" fontId="17" fillId="36" borderId="37" xfId="0" applyNumberFormat="1" applyFont="1" applyFill="1" applyBorder="1" applyAlignment="1" applyProtection="1">
      <alignment horizontal="center"/>
      <protection/>
    </xf>
    <xf numFmtId="1" fontId="17" fillId="36" borderId="18" xfId="0" applyNumberFormat="1" applyFont="1" applyFill="1" applyBorder="1" applyAlignment="1" applyProtection="1">
      <alignment horizontal="center"/>
      <protection/>
    </xf>
    <xf numFmtId="1" fontId="17" fillId="36" borderId="19" xfId="0" applyNumberFormat="1" applyFont="1" applyFill="1" applyBorder="1" applyAlignment="1" applyProtection="1">
      <alignment horizontal="center"/>
      <protection/>
    </xf>
    <xf numFmtId="1" fontId="17" fillId="36" borderId="42" xfId="0" applyNumberFormat="1" applyFont="1" applyFill="1" applyBorder="1" applyAlignment="1" applyProtection="1">
      <alignment horizontal="center"/>
      <protection/>
    </xf>
    <xf numFmtId="1" fontId="17" fillId="36" borderId="44" xfId="0" applyNumberFormat="1" applyFont="1" applyFill="1" applyBorder="1" applyAlignment="1" applyProtection="1">
      <alignment horizontal="center"/>
      <protection/>
    </xf>
    <xf numFmtId="1" fontId="17" fillId="36" borderId="20" xfId="0" applyNumberFormat="1" applyFont="1" applyFill="1" applyBorder="1" applyAlignment="1" applyProtection="1">
      <alignment horizontal="center"/>
      <protection/>
    </xf>
    <xf numFmtId="1" fontId="17" fillId="36" borderId="21" xfId="0" applyNumberFormat="1" applyFont="1" applyFill="1" applyBorder="1" applyAlignment="1" applyProtection="1">
      <alignment horizontal="center"/>
      <protection/>
    </xf>
    <xf numFmtId="1" fontId="17" fillId="36" borderId="43" xfId="0" applyNumberFormat="1" applyFont="1" applyFill="1" applyBorder="1" applyAlignment="1" applyProtection="1">
      <alignment horizontal="center"/>
      <protection/>
    </xf>
    <xf numFmtId="1" fontId="17" fillId="36" borderId="38" xfId="0" applyNumberFormat="1" applyFont="1" applyFill="1" applyBorder="1" applyAlignment="1" applyProtection="1">
      <alignment horizontal="center"/>
      <protection/>
    </xf>
    <xf numFmtId="1" fontId="17" fillId="36" borderId="39" xfId="0" applyNumberFormat="1" applyFont="1" applyFill="1" applyBorder="1" applyAlignment="1" applyProtection="1">
      <alignment horizontal="center"/>
      <protection/>
    </xf>
    <xf numFmtId="1" fontId="17" fillId="36" borderId="40" xfId="0" applyNumberFormat="1" applyFont="1" applyFill="1" applyBorder="1" applyAlignment="1" applyProtection="1">
      <alignment horizontal="center"/>
      <protection/>
    </xf>
    <xf numFmtId="1" fontId="17" fillId="36" borderId="35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center"/>
      <protection/>
    </xf>
    <xf numFmtId="1" fontId="18" fillId="36" borderId="39" xfId="0" applyNumberFormat="1" applyFont="1" applyFill="1" applyBorder="1" applyAlignment="1">
      <alignment/>
    </xf>
    <xf numFmtId="0" fontId="17" fillId="0" borderId="0" xfId="0" applyFont="1" applyAlignment="1">
      <alignment/>
    </xf>
    <xf numFmtId="1" fontId="19" fillId="36" borderId="36" xfId="0" applyNumberFormat="1" applyFont="1" applyFill="1" applyBorder="1" applyAlignment="1" applyProtection="1">
      <alignment horizontal="center"/>
      <protection/>
    </xf>
    <xf numFmtId="1" fontId="19" fillId="36" borderId="16" xfId="0" applyNumberFormat="1" applyFont="1" applyFill="1" applyBorder="1" applyAlignment="1" applyProtection="1">
      <alignment horizontal="center"/>
      <protection/>
    </xf>
    <xf numFmtId="1" fontId="19" fillId="36" borderId="17" xfId="0" applyNumberFormat="1" applyFont="1" applyFill="1" applyBorder="1" applyAlignment="1" applyProtection="1">
      <alignment horizontal="center"/>
      <protection/>
    </xf>
    <xf numFmtId="1" fontId="19" fillId="36" borderId="37" xfId="0" applyNumberFormat="1" applyFont="1" applyFill="1" applyBorder="1" applyAlignment="1" applyProtection="1">
      <alignment horizontal="center"/>
      <protection/>
    </xf>
    <xf numFmtId="1" fontId="19" fillId="36" borderId="18" xfId="0" applyNumberFormat="1" applyFont="1" applyFill="1" applyBorder="1" applyAlignment="1" applyProtection="1">
      <alignment horizontal="center"/>
      <protection/>
    </xf>
    <xf numFmtId="1" fontId="19" fillId="36" borderId="19" xfId="0" applyNumberFormat="1" applyFont="1" applyFill="1" applyBorder="1" applyAlignment="1" applyProtection="1">
      <alignment horizontal="center"/>
      <protection/>
    </xf>
    <xf numFmtId="1" fontId="19" fillId="36" borderId="44" xfId="0" applyNumberFormat="1" applyFont="1" applyFill="1" applyBorder="1" applyAlignment="1" applyProtection="1">
      <alignment horizontal="center"/>
      <protection/>
    </xf>
    <xf numFmtId="1" fontId="19" fillId="36" borderId="20" xfId="0" applyNumberFormat="1" applyFont="1" applyFill="1" applyBorder="1" applyAlignment="1" applyProtection="1">
      <alignment horizontal="center"/>
      <protection/>
    </xf>
    <xf numFmtId="1" fontId="19" fillId="36" borderId="21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36" borderId="35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left"/>
    </xf>
    <xf numFmtId="3" fontId="0" fillId="0" borderId="18" xfId="0" applyNumberFormat="1" applyFill="1" applyBorder="1" applyAlignment="1">
      <alignment horizontal="right"/>
    </xf>
    <xf numFmtId="3" fontId="0" fillId="35" borderId="18" xfId="0" applyNumberForma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35" borderId="36" xfId="0" applyFont="1" applyFill="1" applyBorder="1" applyAlignment="1" applyProtection="1">
      <alignment vertical="center"/>
      <protection locked="0"/>
    </xf>
    <xf numFmtId="0" fontId="1" fillId="35" borderId="16" xfId="0" applyFont="1" applyFill="1" applyBorder="1" applyAlignment="1" applyProtection="1">
      <alignment vertical="center"/>
      <protection locked="0"/>
    </xf>
    <xf numFmtId="0" fontId="1" fillId="35" borderId="37" xfId="0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locked="0"/>
    </xf>
    <xf numFmtId="0" fontId="1" fillId="35" borderId="44" xfId="0" applyFont="1" applyFill="1" applyBorder="1" applyAlignment="1" applyProtection="1">
      <alignment vertical="center"/>
      <protection locked="0"/>
    </xf>
    <xf numFmtId="0" fontId="1" fillId="35" borderId="20" xfId="0" applyFont="1" applyFill="1" applyBorder="1" applyAlignment="1" applyProtection="1">
      <alignment vertical="center"/>
      <protection locked="0"/>
    </xf>
    <xf numFmtId="0" fontId="1" fillId="35" borderId="39" xfId="0" applyFont="1" applyFill="1" applyBorder="1" applyAlignment="1" applyProtection="1">
      <alignment vertical="center"/>
      <protection locked="0"/>
    </xf>
    <xf numFmtId="0" fontId="9" fillId="34" borderId="25" xfId="0" applyFont="1" applyFill="1" applyBorder="1" applyAlignment="1" applyProtection="1">
      <alignment/>
      <protection/>
    </xf>
    <xf numFmtId="3" fontId="1" fillId="35" borderId="35" xfId="0" applyNumberFormat="1" applyFont="1" applyFill="1" applyBorder="1" applyAlignment="1" applyProtection="1">
      <alignment horizontal="center"/>
      <protection locked="0"/>
    </xf>
    <xf numFmtId="1" fontId="1" fillId="35" borderId="41" xfId="0" applyNumberFormat="1" applyFont="1" applyFill="1" applyBorder="1" applyAlignment="1" applyProtection="1">
      <alignment horizontal="center"/>
      <protection locked="0"/>
    </xf>
    <xf numFmtId="1" fontId="1" fillId="35" borderId="43" xfId="0" applyNumberFormat="1" applyFont="1" applyFill="1" applyBorder="1" applyAlignment="1" applyProtection="1">
      <alignment horizontal="center"/>
      <protection locked="0"/>
    </xf>
    <xf numFmtId="1" fontId="1" fillId="36" borderId="35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67" fillId="0" borderId="0" xfId="0" applyFont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78" xfId="0" applyFill="1" applyBorder="1" applyAlignment="1" applyProtection="1">
      <alignment horizontal="center"/>
      <protection/>
    </xf>
    <xf numFmtId="1" fontId="0" fillId="36" borderId="79" xfId="0" applyNumberFormat="1" applyFont="1" applyFill="1" applyBorder="1" applyAlignment="1" applyProtection="1">
      <alignment horizontal="center"/>
      <protection/>
    </xf>
    <xf numFmtId="1" fontId="0" fillId="36" borderId="48" xfId="0" applyNumberFormat="1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1" fontId="0" fillId="36" borderId="80" xfId="0" applyNumberFormat="1" applyFont="1" applyFill="1" applyBorder="1" applyAlignment="1" applyProtection="1">
      <alignment horizontal="center"/>
      <protection/>
    </xf>
    <xf numFmtId="1" fontId="0" fillId="36" borderId="61" xfId="0" applyNumberFormat="1" applyFont="1" applyFill="1" applyBorder="1" applyAlignment="1" applyProtection="1">
      <alignment horizontal="center"/>
      <protection/>
    </xf>
    <xf numFmtId="1" fontId="0" fillId="36" borderId="67" xfId="0" applyNumberFormat="1" applyFont="1" applyFill="1" applyBorder="1" applyAlignment="1" applyProtection="1">
      <alignment horizontal="center"/>
      <protection/>
    </xf>
    <xf numFmtId="1" fontId="0" fillId="36" borderId="66" xfId="0" applyNumberFormat="1" applyFont="1" applyFill="1" applyBorder="1" applyAlignment="1" applyProtection="1">
      <alignment horizontal="center"/>
      <protection/>
    </xf>
    <xf numFmtId="1" fontId="0" fillId="36" borderId="81" xfId="0" applyNumberFormat="1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1" fontId="6" fillId="36" borderId="41" xfId="0" applyNumberFormat="1" applyFont="1" applyFill="1" applyBorder="1" applyAlignment="1" applyProtection="1">
      <alignment horizontal="center"/>
      <protection/>
    </xf>
    <xf numFmtId="1" fontId="6" fillId="36" borderId="42" xfId="0" applyNumberFormat="1" applyFont="1" applyFill="1" applyBorder="1" applyAlignment="1" applyProtection="1">
      <alignment horizontal="center"/>
      <protection/>
    </xf>
    <xf numFmtId="1" fontId="6" fillId="36" borderId="43" xfId="0" applyNumberFormat="1" applyFont="1" applyFill="1" applyBorder="1" applyAlignment="1" applyProtection="1">
      <alignment horizontal="center"/>
      <protection/>
    </xf>
    <xf numFmtId="1" fontId="6" fillId="36" borderId="38" xfId="0" applyNumberFormat="1" applyFont="1" applyFill="1" applyBorder="1" applyAlignment="1" applyProtection="1">
      <alignment horizontal="center"/>
      <protection/>
    </xf>
    <xf numFmtId="1" fontId="6" fillId="36" borderId="39" xfId="0" applyNumberFormat="1" applyFont="1" applyFill="1" applyBorder="1" applyAlignment="1" applyProtection="1">
      <alignment horizontal="center"/>
      <protection/>
    </xf>
    <xf numFmtId="1" fontId="6" fillId="36" borderId="40" xfId="0" applyNumberFormat="1" applyFont="1" applyFill="1" applyBorder="1" applyAlignment="1" applyProtection="1">
      <alignment horizontal="center"/>
      <protection/>
    </xf>
    <xf numFmtId="1" fontId="6" fillId="36" borderId="35" xfId="0" applyNumberFormat="1" applyFont="1" applyFill="1" applyBorder="1" applyAlignment="1" applyProtection="1">
      <alignment horizontal="center"/>
      <protection/>
    </xf>
    <xf numFmtId="1" fontId="26" fillId="36" borderId="36" xfId="0" applyNumberFormat="1" applyFont="1" applyFill="1" applyBorder="1" applyAlignment="1" applyProtection="1">
      <alignment horizontal="center"/>
      <protection/>
    </xf>
    <xf numFmtId="1" fontId="26" fillId="36" borderId="16" xfId="0" applyNumberFormat="1" applyFont="1" applyFill="1" applyBorder="1" applyAlignment="1" applyProtection="1">
      <alignment horizontal="center"/>
      <protection/>
    </xf>
    <xf numFmtId="1" fontId="26" fillId="36" borderId="17" xfId="0" applyNumberFormat="1" applyFont="1" applyFill="1" applyBorder="1" applyAlignment="1" applyProtection="1">
      <alignment horizontal="center"/>
      <protection/>
    </xf>
    <xf numFmtId="1" fontId="26" fillId="36" borderId="37" xfId="0" applyNumberFormat="1" applyFont="1" applyFill="1" applyBorder="1" applyAlignment="1" applyProtection="1">
      <alignment horizontal="center"/>
      <protection/>
    </xf>
    <xf numFmtId="1" fontId="26" fillId="36" borderId="18" xfId="0" applyNumberFormat="1" applyFont="1" applyFill="1" applyBorder="1" applyAlignment="1" applyProtection="1">
      <alignment horizontal="center"/>
      <protection/>
    </xf>
    <xf numFmtId="1" fontId="26" fillId="36" borderId="19" xfId="0" applyNumberFormat="1" applyFont="1" applyFill="1" applyBorder="1" applyAlignment="1" applyProtection="1">
      <alignment horizontal="center"/>
      <protection/>
    </xf>
    <xf numFmtId="1" fontId="26" fillId="36" borderId="44" xfId="0" applyNumberFormat="1" applyFont="1" applyFill="1" applyBorder="1" applyAlignment="1" applyProtection="1">
      <alignment horizontal="center"/>
      <protection/>
    </xf>
    <xf numFmtId="1" fontId="26" fillId="36" borderId="20" xfId="0" applyNumberFormat="1" applyFont="1" applyFill="1" applyBorder="1" applyAlignment="1" applyProtection="1">
      <alignment horizontal="center"/>
      <protection/>
    </xf>
    <xf numFmtId="1" fontId="26" fillId="36" borderId="2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1" fontId="27" fillId="36" borderId="36" xfId="0" applyNumberFormat="1" applyFont="1" applyFill="1" applyBorder="1" applyAlignment="1" applyProtection="1">
      <alignment horizontal="center"/>
      <protection/>
    </xf>
    <xf numFmtId="1" fontId="27" fillId="36" borderId="16" xfId="0" applyNumberFormat="1" applyFont="1" applyFill="1" applyBorder="1" applyAlignment="1" applyProtection="1">
      <alignment horizontal="center"/>
      <protection/>
    </xf>
    <xf numFmtId="1" fontId="27" fillId="36" borderId="37" xfId="0" applyNumberFormat="1" applyFont="1" applyFill="1" applyBorder="1" applyAlignment="1" applyProtection="1">
      <alignment horizontal="center"/>
      <protection/>
    </xf>
    <xf numFmtId="1" fontId="27" fillId="36" borderId="18" xfId="0" applyNumberFormat="1" applyFont="1" applyFill="1" applyBorder="1" applyAlignment="1" applyProtection="1">
      <alignment horizontal="center"/>
      <protection/>
    </xf>
    <xf numFmtId="1" fontId="27" fillId="36" borderId="19" xfId="0" applyNumberFormat="1" applyFont="1" applyFill="1" applyBorder="1" applyAlignment="1" applyProtection="1">
      <alignment horizontal="center"/>
      <protection/>
    </xf>
    <xf numFmtId="1" fontId="27" fillId="36" borderId="44" xfId="0" applyNumberFormat="1" applyFont="1" applyFill="1" applyBorder="1" applyAlignment="1" applyProtection="1">
      <alignment horizontal="center"/>
      <protection/>
    </xf>
    <xf numFmtId="1" fontId="27" fillId="36" borderId="20" xfId="0" applyNumberFormat="1" applyFont="1" applyFill="1" applyBorder="1" applyAlignment="1" applyProtection="1">
      <alignment horizontal="center"/>
      <protection/>
    </xf>
    <xf numFmtId="1" fontId="27" fillId="36" borderId="21" xfId="0" applyNumberFormat="1" applyFont="1" applyFill="1" applyBorder="1" applyAlignment="1" applyProtection="1">
      <alignment horizontal="center"/>
      <protection/>
    </xf>
    <xf numFmtId="1" fontId="27" fillId="36" borderId="17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28" fillId="36" borderId="36" xfId="0" applyNumberFormat="1" applyFont="1" applyFill="1" applyBorder="1" applyAlignment="1" applyProtection="1">
      <alignment horizontal="center"/>
      <protection/>
    </xf>
    <xf numFmtId="1" fontId="28" fillId="36" borderId="16" xfId="0" applyNumberFormat="1" applyFont="1" applyFill="1" applyBorder="1" applyAlignment="1" applyProtection="1">
      <alignment horizontal="center"/>
      <protection/>
    </xf>
    <xf numFmtId="1" fontId="28" fillId="36" borderId="37" xfId="0" applyNumberFormat="1" applyFont="1" applyFill="1" applyBorder="1" applyAlignment="1" applyProtection="1">
      <alignment horizontal="center"/>
      <protection/>
    </xf>
    <xf numFmtId="1" fontId="28" fillId="36" borderId="18" xfId="0" applyNumberFormat="1" applyFont="1" applyFill="1" applyBorder="1" applyAlignment="1" applyProtection="1">
      <alignment horizontal="center"/>
      <protection/>
    </xf>
    <xf numFmtId="1" fontId="28" fillId="36" borderId="44" xfId="0" applyNumberFormat="1" applyFont="1" applyFill="1" applyBorder="1" applyAlignment="1" applyProtection="1">
      <alignment horizontal="center"/>
      <protection/>
    </xf>
    <xf numFmtId="1" fontId="28" fillId="36" borderId="20" xfId="0" applyNumberFormat="1" applyFont="1" applyFill="1" applyBorder="1" applyAlignment="1" applyProtection="1">
      <alignment horizontal="center"/>
      <protection/>
    </xf>
    <xf numFmtId="1" fontId="29" fillId="36" borderId="36" xfId="0" applyNumberFormat="1" applyFont="1" applyFill="1" applyBorder="1" applyAlignment="1" applyProtection="1">
      <alignment horizontal="center"/>
      <protection/>
    </xf>
    <xf numFmtId="1" fontId="29" fillId="36" borderId="16" xfId="0" applyNumberFormat="1" applyFont="1" applyFill="1" applyBorder="1" applyAlignment="1" applyProtection="1">
      <alignment horizontal="center"/>
      <protection/>
    </xf>
    <xf numFmtId="1" fontId="29" fillId="36" borderId="17" xfId="0" applyNumberFormat="1" applyFont="1" applyFill="1" applyBorder="1" applyAlignment="1" applyProtection="1">
      <alignment horizontal="center"/>
      <protection/>
    </xf>
    <xf numFmtId="1" fontId="29" fillId="36" borderId="37" xfId="0" applyNumberFormat="1" applyFont="1" applyFill="1" applyBorder="1" applyAlignment="1" applyProtection="1">
      <alignment horizontal="center"/>
      <protection/>
    </xf>
    <xf numFmtId="1" fontId="29" fillId="36" borderId="18" xfId="0" applyNumberFormat="1" applyFont="1" applyFill="1" applyBorder="1" applyAlignment="1" applyProtection="1">
      <alignment horizontal="center"/>
      <protection/>
    </xf>
    <xf numFmtId="1" fontId="29" fillId="36" borderId="19" xfId="0" applyNumberFormat="1" applyFont="1" applyFill="1" applyBorder="1" applyAlignment="1" applyProtection="1">
      <alignment horizontal="center"/>
      <protection/>
    </xf>
    <xf numFmtId="1" fontId="29" fillId="36" borderId="44" xfId="0" applyNumberFormat="1" applyFont="1" applyFill="1" applyBorder="1" applyAlignment="1" applyProtection="1">
      <alignment horizontal="center"/>
      <protection/>
    </xf>
    <xf numFmtId="1" fontId="29" fillId="36" borderId="20" xfId="0" applyNumberFormat="1" applyFont="1" applyFill="1" applyBorder="1" applyAlignment="1" applyProtection="1">
      <alignment horizontal="center"/>
      <protection/>
    </xf>
    <xf numFmtId="1" fontId="29" fillId="36" borderId="21" xfId="0" applyNumberFormat="1" applyFont="1" applyFill="1" applyBorder="1" applyAlignment="1" applyProtection="1">
      <alignment horizontal="center"/>
      <protection/>
    </xf>
    <xf numFmtId="1" fontId="28" fillId="36" borderId="17" xfId="0" applyNumberFormat="1" applyFont="1" applyFill="1" applyBorder="1" applyAlignment="1" applyProtection="1">
      <alignment horizontal="center"/>
      <protection/>
    </xf>
    <xf numFmtId="1" fontId="28" fillId="36" borderId="19" xfId="0" applyNumberFormat="1" applyFont="1" applyFill="1" applyBorder="1" applyAlignment="1" applyProtection="1">
      <alignment horizontal="center"/>
      <protection/>
    </xf>
    <xf numFmtId="1" fontId="28" fillId="36" borderId="21" xfId="0" applyNumberFormat="1" applyFont="1" applyFill="1" applyBorder="1" applyAlignment="1" applyProtection="1">
      <alignment horizontal="center"/>
      <protection/>
    </xf>
    <xf numFmtId="0" fontId="0" fillId="36" borderId="18" xfId="0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3" xfId="0" applyFill="1" applyBorder="1" applyAlignment="1">
      <alignment horizontal="center"/>
    </xf>
    <xf numFmtId="1" fontId="0" fillId="0" borderId="63" xfId="0" applyNumberFormat="1" applyFill="1" applyBorder="1" applyAlignment="1">
      <alignment/>
    </xf>
    <xf numFmtId="0" fontId="0" fillId="0" borderId="63" xfId="0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2" fontId="6" fillId="36" borderId="38" xfId="0" applyNumberFormat="1" applyFont="1" applyFill="1" applyBorder="1" applyAlignment="1" applyProtection="1">
      <alignment horizontal="center"/>
      <protection/>
    </xf>
    <xf numFmtId="2" fontId="6" fillId="36" borderId="3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36" borderId="41" xfId="0" applyNumberFormat="1" applyFill="1" applyBorder="1" applyAlignment="1" applyProtection="1">
      <alignment horizontal="center"/>
      <protection/>
    </xf>
    <xf numFmtId="2" fontId="0" fillId="36" borderId="42" xfId="0" applyNumberFormat="1" applyFill="1" applyBorder="1" applyAlignment="1" applyProtection="1">
      <alignment horizontal="center"/>
      <protection/>
    </xf>
    <xf numFmtId="2" fontId="0" fillId="36" borderId="43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190" fontId="0" fillId="36" borderId="79" xfId="0" applyNumberFormat="1" applyFill="1" applyBorder="1" applyAlignment="1">
      <alignment horizontal="center"/>
    </xf>
    <xf numFmtId="190" fontId="0" fillId="36" borderId="82" xfId="0" applyNumberFormat="1" applyFill="1" applyBorder="1" applyAlignment="1">
      <alignment horizontal="center"/>
    </xf>
    <xf numFmtId="190" fontId="0" fillId="36" borderId="83" xfId="0" applyNumberFormat="1" applyFill="1" applyBorder="1" applyAlignment="1">
      <alignment horizontal="center"/>
    </xf>
    <xf numFmtId="190" fontId="0" fillId="36" borderId="84" xfId="0" applyNumberFormat="1" applyFill="1" applyBorder="1" applyAlignment="1">
      <alignment horizontal="center"/>
    </xf>
    <xf numFmtId="2" fontId="6" fillId="36" borderId="81" xfId="0" applyNumberFormat="1" applyFont="1" applyFill="1" applyBorder="1" applyAlignment="1" applyProtection="1">
      <alignment horizontal="center"/>
      <protection/>
    </xf>
    <xf numFmtId="2" fontId="6" fillId="36" borderId="3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left"/>
    </xf>
    <xf numFmtId="0" fontId="25" fillId="37" borderId="52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3" fillId="35" borderId="2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8" borderId="13" xfId="0" applyFont="1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49" fontId="0" fillId="38" borderId="27" xfId="0" applyNumberFormat="1" applyFont="1" applyFill="1" applyBorder="1" applyAlignment="1">
      <alignment horizontal="center" vertical="center"/>
    </xf>
    <xf numFmtId="49" fontId="0" fillId="38" borderId="65" xfId="0" applyNumberFormat="1" applyFill="1" applyBorder="1" applyAlignment="1">
      <alignment horizontal="center" vertical="center"/>
    </xf>
    <xf numFmtId="49" fontId="0" fillId="38" borderId="30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16" fillId="0" borderId="62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 wrapText="1"/>
    </xf>
    <xf numFmtId="3" fontId="0" fillId="0" borderId="62" xfId="0" applyNumberFormat="1" applyBorder="1" applyAlignment="1">
      <alignment horizontal="center" vertical="center" wrapText="1"/>
    </xf>
    <xf numFmtId="3" fontId="27" fillId="0" borderId="62" xfId="0" applyNumberFormat="1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196" fontId="0" fillId="0" borderId="62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8" fillId="0" borderId="0" xfId="0" applyFont="1" applyBorder="1" applyAlignment="1">
      <alignment horizontal="left" vertical="center"/>
    </xf>
    <xf numFmtId="0" fontId="68" fillId="0" borderId="65" xfId="0" applyFont="1" applyBorder="1" applyAlignment="1">
      <alignment horizontal="left" vertical="center"/>
    </xf>
    <xf numFmtId="49" fontId="0" fillId="39" borderId="25" xfId="0" applyNumberFormat="1" applyFont="1" applyFill="1" applyBorder="1" applyAlignment="1">
      <alignment horizontal="left" vertical="center" wrapText="1"/>
    </xf>
    <xf numFmtId="49" fontId="0" fillId="39" borderId="15" xfId="0" applyNumberFormat="1" applyFont="1" applyFill="1" applyBorder="1" applyAlignment="1">
      <alignment horizontal="left" vertical="center" wrapText="1"/>
    </xf>
    <xf numFmtId="49" fontId="0" fillId="39" borderId="2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14" width="5.7109375" style="0" customWidth="1"/>
    <col min="15" max="15" width="7.7109375" style="0" customWidth="1"/>
    <col min="16" max="16" width="5.7109375" style="0" customWidth="1"/>
    <col min="17" max="17" width="8.7109375" style="0" customWidth="1"/>
    <col min="18" max="30" width="5.7109375" style="0" customWidth="1"/>
  </cols>
  <sheetData>
    <row r="1" spans="1:14" ht="17.25" thickBot="1" thickTop="1">
      <c r="A1" s="177" t="s">
        <v>143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80"/>
    </row>
    <row r="2" spans="1:14" ht="13.5" thickTop="1">
      <c r="A2" s="181" t="s">
        <v>144</v>
      </c>
      <c r="B2" s="38"/>
      <c r="C2" s="38"/>
      <c r="D2" s="38"/>
      <c r="E2" s="38"/>
      <c r="F2" s="38"/>
      <c r="G2" s="182" t="s">
        <v>170</v>
      </c>
      <c r="H2" s="182"/>
      <c r="I2" s="182"/>
      <c r="J2" s="182"/>
      <c r="K2" s="182"/>
      <c r="L2" s="182"/>
      <c r="M2" s="182"/>
      <c r="N2" s="38"/>
    </row>
    <row r="3" spans="1:14" ht="13.5" thickBot="1">
      <c r="A3" s="181"/>
      <c r="B3" s="38"/>
      <c r="C3" s="38"/>
      <c r="D3" s="38"/>
      <c r="E3" s="38"/>
      <c r="F3" s="38"/>
      <c r="G3" s="182"/>
      <c r="H3" s="182"/>
      <c r="I3" s="182"/>
      <c r="J3" s="182"/>
      <c r="K3" s="182"/>
      <c r="L3" s="182"/>
      <c r="M3" s="182"/>
      <c r="N3" s="38"/>
    </row>
    <row r="4" spans="1:14" ht="78.75" customHeight="1" thickBot="1">
      <c r="A4" s="347" t="s">
        <v>183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  <c r="L4" s="349"/>
      <c r="M4" s="350"/>
      <c r="N4" s="38"/>
    </row>
    <row r="5" spans="1:16" ht="12.75">
      <c r="A5" s="181"/>
      <c r="B5" s="38"/>
      <c r="C5" s="38"/>
      <c r="D5" s="38"/>
      <c r="E5" s="38"/>
      <c r="F5" s="38"/>
      <c r="G5" s="182"/>
      <c r="H5" s="182"/>
      <c r="I5" s="182"/>
      <c r="J5" s="182"/>
      <c r="K5" s="182"/>
      <c r="L5" s="182"/>
      <c r="M5" s="182"/>
      <c r="N5" s="354" t="s">
        <v>197</v>
      </c>
      <c r="O5" s="355"/>
      <c r="P5" s="356"/>
    </row>
    <row r="6" spans="14:16" ht="13.5" thickBot="1">
      <c r="N6" s="357" t="s">
        <v>198</v>
      </c>
      <c r="O6" s="358"/>
      <c r="P6" s="359"/>
    </row>
    <row r="7" spans="1:12" ht="16.5" thickBot="1">
      <c r="A7" s="183" t="s">
        <v>145</v>
      </c>
      <c r="C7" s="351" t="s">
        <v>195</v>
      </c>
      <c r="D7" s="352"/>
      <c r="E7" s="353"/>
      <c r="G7" t="s">
        <v>146</v>
      </c>
      <c r="L7" s="254">
        <v>4675</v>
      </c>
    </row>
    <row r="8" spans="7:12" ht="12.75">
      <c r="G8" t="s">
        <v>177</v>
      </c>
      <c r="L8" s="238">
        <f>IF(AND(L10=1,ABS(O54-L7)&gt;0.5),"INPUT ERROR !!","")</f>
      </c>
    </row>
    <row r="9" ht="13.5" thickBot="1"/>
    <row r="10" spans="1:14" ht="13.5" thickBot="1">
      <c r="A10" s="138" t="s">
        <v>147</v>
      </c>
      <c r="E10" s="41"/>
      <c r="G10" s="184" t="s">
        <v>3</v>
      </c>
      <c r="H10" s="184"/>
      <c r="I10" s="184"/>
      <c r="L10" s="42">
        <v>4</v>
      </c>
      <c r="M10" s="38"/>
      <c r="N10" s="38"/>
    </row>
    <row r="11" spans="1:15" ht="12.75">
      <c r="A11" t="s">
        <v>148</v>
      </c>
      <c r="E11" s="255">
        <v>10</v>
      </c>
      <c r="G11" t="s">
        <v>22</v>
      </c>
      <c r="M11" s="38"/>
      <c r="N11" s="38"/>
      <c r="O11" s="262"/>
    </row>
    <row r="12" spans="1:14" ht="13.5" thickBot="1">
      <c r="A12" t="s">
        <v>149</v>
      </c>
      <c r="E12" s="256">
        <v>0</v>
      </c>
      <c r="G12" t="s">
        <v>7</v>
      </c>
      <c r="M12" s="38"/>
      <c r="N12" s="38"/>
    </row>
    <row r="13" spans="1:13" ht="13.5" thickBot="1">
      <c r="A13" t="s">
        <v>150</v>
      </c>
      <c r="E13" s="257">
        <f>E11-E12+1</f>
        <v>11</v>
      </c>
      <c r="G13" s="38" t="s">
        <v>6</v>
      </c>
      <c r="H13" s="38"/>
      <c r="I13" s="38"/>
      <c r="J13" s="38"/>
      <c r="K13" s="38"/>
      <c r="L13" s="38"/>
      <c r="M13" s="38"/>
    </row>
    <row r="14" spans="1:13" ht="13.5" thickBot="1">
      <c r="A14" t="s">
        <v>201</v>
      </c>
      <c r="E14" s="42">
        <v>0</v>
      </c>
      <c r="G14" s="38" t="s">
        <v>8</v>
      </c>
      <c r="H14" s="38"/>
      <c r="I14" s="38"/>
      <c r="J14" s="38"/>
      <c r="K14" s="38"/>
      <c r="L14" s="38"/>
      <c r="M14" s="38"/>
    </row>
    <row r="15" spans="5:13" ht="12.75">
      <c r="E15" s="374"/>
      <c r="G15" s="38"/>
      <c r="H15" s="38"/>
      <c r="I15" s="38"/>
      <c r="J15" s="38"/>
      <c r="K15" s="38"/>
      <c r="L15" s="38"/>
      <c r="M15" s="38"/>
    </row>
    <row r="16" spans="5:13" ht="13.5" thickBot="1">
      <c r="E16" s="117"/>
      <c r="G16" s="38"/>
      <c r="H16" s="38"/>
      <c r="I16" s="38"/>
      <c r="J16" s="38"/>
      <c r="K16" s="38"/>
      <c r="L16" s="38"/>
      <c r="M16" s="38"/>
    </row>
    <row r="17" spans="1:16" ht="13.5" thickBot="1">
      <c r="A17" s="138" t="s">
        <v>151</v>
      </c>
      <c r="E17" s="117"/>
      <c r="H17" s="261" t="s">
        <v>187</v>
      </c>
      <c r="I17" s="379" t="s">
        <v>193</v>
      </c>
      <c r="J17" s="380"/>
      <c r="K17" s="380"/>
      <c r="L17" s="380"/>
      <c r="M17" s="380"/>
      <c r="N17" s="380"/>
      <c r="O17" s="380"/>
      <c r="P17" s="381"/>
    </row>
    <row r="18" spans="1:14" ht="13.5" thickBot="1">
      <c r="A18" s="155" t="s">
        <v>152</v>
      </c>
      <c r="E18" s="257">
        <f>SUM((N20:N31))</f>
        <v>3</v>
      </c>
      <c r="F18" t="s">
        <v>153</v>
      </c>
      <c r="I18" s="238">
        <f>IF(E18=2,"WRONG PROGRAMME;SELECT WDH 'COMPUTE ASSOCIATION DICHOTOMY'","")</f>
      </c>
      <c r="M18" s="339" t="s">
        <v>194</v>
      </c>
      <c r="N18" s="339"/>
    </row>
    <row r="19" spans="1:14" ht="13.5" thickBot="1">
      <c r="A19" t="s">
        <v>154</v>
      </c>
      <c r="D19" s="238">
        <f>IF(N20=0,"ENTER ALL RELEVANT  SPECIFICATION CELLS  !!","")</f>
      </c>
      <c r="G19" s="153"/>
      <c r="H19" s="378" t="str">
        <f>IF($E$14=1,"In case of scale reversion, no average values are reported."," ")</f>
        <v> </v>
      </c>
      <c r="I19" s="377"/>
      <c r="L19" s="155"/>
      <c r="N19" s="339"/>
    </row>
    <row r="20" spans="2:16" ht="12.75">
      <c r="B20" s="23">
        <v>1</v>
      </c>
      <c r="C20" s="23" t="s">
        <v>155</v>
      </c>
      <c r="D20" s="185" t="s">
        <v>184</v>
      </c>
      <c r="E20" s="186"/>
      <c r="F20" s="186"/>
      <c r="G20" s="186"/>
      <c r="H20" s="186"/>
      <c r="I20" s="186"/>
      <c r="J20" s="186"/>
      <c r="K20" s="186"/>
      <c r="L20" s="187"/>
      <c r="M20" s="336">
        <f>IF(AND($E$14=0,N20=1),Pairs!C$21,"")</f>
        <v>8.066340782122905</v>
      </c>
      <c r="N20" s="239">
        <f>IF(D20="",0,1)</f>
        <v>1</v>
      </c>
      <c r="O20" s="375"/>
      <c r="P20" s="375"/>
    </row>
    <row r="21" spans="2:16" ht="12.75">
      <c r="B21" s="188">
        <v>2</v>
      </c>
      <c r="C21" s="188" t="s">
        <v>156</v>
      </c>
      <c r="D21" s="189" t="s">
        <v>185</v>
      </c>
      <c r="E21" s="190"/>
      <c r="F21" s="190"/>
      <c r="G21" s="190"/>
      <c r="H21" s="190"/>
      <c r="I21" s="190"/>
      <c r="J21" s="190"/>
      <c r="K21" s="190"/>
      <c r="L21" s="191"/>
      <c r="M21" s="337">
        <f>IF(AND($E$14=0,N21=1),Pairs!D$21,"")</f>
        <v>8.105232216343328</v>
      </c>
      <c r="N21" s="239">
        <f>IF(D21="",0,1)</f>
        <v>1</v>
      </c>
      <c r="O21" s="375"/>
      <c r="P21" s="375"/>
    </row>
    <row r="22" spans="2:16" ht="12.75">
      <c r="B22" s="188">
        <v>3</v>
      </c>
      <c r="C22" s="188" t="s">
        <v>157</v>
      </c>
      <c r="D22" s="189" t="s">
        <v>186</v>
      </c>
      <c r="E22" s="190"/>
      <c r="F22" s="190"/>
      <c r="G22" s="190"/>
      <c r="H22" s="190"/>
      <c r="I22" s="190"/>
      <c r="J22" s="190"/>
      <c r="K22" s="190"/>
      <c r="L22" s="191"/>
      <c r="M22" s="337">
        <f>IF(AND($E$14=0,N22=1),Pairs!E$21,"")</f>
        <v>7.923027166882277</v>
      </c>
      <c r="N22" s="239">
        <f>IF(D22="",0,1)</f>
        <v>1</v>
      </c>
      <c r="O22" s="375"/>
      <c r="P22" s="375"/>
    </row>
    <row r="23" spans="2:16" ht="12.75">
      <c r="B23" s="188">
        <v>4</v>
      </c>
      <c r="C23" s="188" t="s">
        <v>158</v>
      </c>
      <c r="D23" s="189"/>
      <c r="E23" s="190"/>
      <c r="F23" s="190"/>
      <c r="G23" s="190"/>
      <c r="H23" s="190"/>
      <c r="I23" s="190"/>
      <c r="J23" s="190"/>
      <c r="K23" s="190"/>
      <c r="L23" s="191"/>
      <c r="M23" s="337">
        <f>IF(AND($E$14=0,N23=1),Pairs!F$21,"")</f>
      </c>
      <c r="N23" s="239">
        <f>IF(D23="",0,1)</f>
        <v>0</v>
      </c>
      <c r="O23" s="376"/>
      <c r="P23" s="376"/>
    </row>
    <row r="24" spans="2:14" ht="12.75">
      <c r="B24" s="188">
        <v>5</v>
      </c>
      <c r="C24" s="188" t="s">
        <v>159</v>
      </c>
      <c r="D24" s="189"/>
      <c r="E24" s="190"/>
      <c r="F24" s="190"/>
      <c r="G24" s="190"/>
      <c r="H24" s="190"/>
      <c r="I24" s="190"/>
      <c r="J24" s="190"/>
      <c r="K24" s="190"/>
      <c r="L24" s="191"/>
      <c r="M24" s="337">
        <f>IF(AND($E$14=0,N24=1),Pairs!G$21,"")</f>
      </c>
      <c r="N24" s="239">
        <f>IF(D24="",0,1)</f>
        <v>0</v>
      </c>
    </row>
    <row r="25" spans="2:14" ht="12.75">
      <c r="B25" s="188">
        <v>6</v>
      </c>
      <c r="C25" s="188" t="s">
        <v>160</v>
      </c>
      <c r="D25" s="189"/>
      <c r="E25" s="190"/>
      <c r="F25" s="190"/>
      <c r="G25" s="190"/>
      <c r="H25" s="190"/>
      <c r="I25" s="190"/>
      <c r="J25" s="190"/>
      <c r="K25" s="190"/>
      <c r="L25" s="191"/>
      <c r="M25" s="337">
        <f>IF(AND($E$14=0,N25=1),Pairs!H$21,"")</f>
      </c>
      <c r="N25" s="239">
        <f>IF(D25="",0,1)</f>
        <v>0</v>
      </c>
    </row>
    <row r="26" spans="2:14" ht="12.75">
      <c r="B26" s="188">
        <v>7</v>
      </c>
      <c r="C26" s="188" t="s">
        <v>161</v>
      </c>
      <c r="D26" s="189"/>
      <c r="E26" s="190"/>
      <c r="F26" s="190"/>
      <c r="G26" s="190"/>
      <c r="H26" s="190"/>
      <c r="I26" s="190"/>
      <c r="J26" s="190"/>
      <c r="K26" s="190"/>
      <c r="L26" s="191"/>
      <c r="M26" s="337">
        <f>IF(AND($E$14=0,N26=1),Pairs!I$21,"")</f>
      </c>
      <c r="N26" s="239">
        <f>IF(D26="",0,1)</f>
        <v>0</v>
      </c>
    </row>
    <row r="27" spans="2:14" ht="12.75">
      <c r="B27" s="188">
        <v>8</v>
      </c>
      <c r="C27" s="188" t="s">
        <v>162</v>
      </c>
      <c r="D27" s="189"/>
      <c r="E27" s="190"/>
      <c r="F27" s="190"/>
      <c r="G27" s="190"/>
      <c r="H27" s="190"/>
      <c r="I27" s="190"/>
      <c r="J27" s="190"/>
      <c r="K27" s="190"/>
      <c r="L27" s="191"/>
      <c r="M27" s="337">
        <f>IF(AND($E$14=0,N27=1),Pairs!J$21,"")</f>
      </c>
      <c r="N27" s="239">
        <f>IF(D27="",0,1)</f>
        <v>0</v>
      </c>
    </row>
    <row r="28" spans="2:14" ht="12.75">
      <c r="B28" s="188">
        <v>9</v>
      </c>
      <c r="C28" s="188" t="s">
        <v>163</v>
      </c>
      <c r="D28" s="189"/>
      <c r="E28" s="190"/>
      <c r="F28" s="190"/>
      <c r="G28" s="190"/>
      <c r="H28" s="190"/>
      <c r="I28" s="190"/>
      <c r="J28" s="190"/>
      <c r="K28" s="190"/>
      <c r="L28" s="191"/>
      <c r="M28" s="337">
        <f>IF(AND($E$14=0,N28=1),Pairs!K$21,"")</f>
      </c>
      <c r="N28" s="239">
        <f>IF(D28="",0,1)</f>
        <v>0</v>
      </c>
    </row>
    <row r="29" spans="2:14" ht="12.75">
      <c r="B29" s="188">
        <v>10</v>
      </c>
      <c r="C29" s="188" t="s">
        <v>164</v>
      </c>
      <c r="D29" s="189"/>
      <c r="E29" s="190"/>
      <c r="F29" s="190"/>
      <c r="G29" s="190"/>
      <c r="H29" s="190"/>
      <c r="I29" s="190"/>
      <c r="J29" s="190"/>
      <c r="K29" s="190"/>
      <c r="L29" s="191"/>
      <c r="M29" s="337">
        <f>IF(AND($E$14=0,N29=1),Pairs!L$21,"")</f>
      </c>
      <c r="N29" s="239">
        <f>IF(D29="",0,1)</f>
        <v>0</v>
      </c>
    </row>
    <row r="30" spans="2:14" ht="12.75">
      <c r="B30" s="188">
        <v>11</v>
      </c>
      <c r="C30" s="188" t="s">
        <v>165</v>
      </c>
      <c r="D30" s="189"/>
      <c r="E30" s="190"/>
      <c r="F30" s="190"/>
      <c r="G30" s="190"/>
      <c r="H30" s="190"/>
      <c r="I30" s="190"/>
      <c r="J30" s="190"/>
      <c r="K30" s="190"/>
      <c r="L30" s="191"/>
      <c r="M30" s="337">
        <f>IF(AND($E$14=0,N30=1),Pairs!M$21,"")</f>
      </c>
      <c r="N30" s="239">
        <f>IF(D30="",0,1)</f>
        <v>0</v>
      </c>
    </row>
    <row r="31" spans="2:14" ht="13.5" thickBot="1">
      <c r="B31" s="192">
        <v>12</v>
      </c>
      <c r="C31" s="192" t="s">
        <v>166</v>
      </c>
      <c r="D31" s="193"/>
      <c r="E31" s="194"/>
      <c r="F31" s="194"/>
      <c r="G31" s="194"/>
      <c r="H31" s="194"/>
      <c r="I31" s="194"/>
      <c r="J31" s="194"/>
      <c r="K31" s="194"/>
      <c r="L31" s="195"/>
      <c r="M31" s="338">
        <f>IF(AND($E$14=0,N31=1),Pairs!N$21,"")</f>
      </c>
      <c r="N31" s="239">
        <f>IF(D31="",0,1)</f>
        <v>0</v>
      </c>
    </row>
    <row r="32" spans="5:8" ht="12.75">
      <c r="E32" s="238"/>
      <c r="F32" s="238"/>
      <c r="G32" s="238"/>
      <c r="H32" s="238"/>
    </row>
    <row r="33" spans="1:11" ht="12.75">
      <c r="A33" s="123" t="s">
        <v>167</v>
      </c>
      <c r="K33" t="s">
        <v>168</v>
      </c>
    </row>
    <row r="34" spans="3:16" ht="12.75">
      <c r="C34" s="38"/>
      <c r="D34" s="38"/>
      <c r="E34" s="56" t="s">
        <v>19</v>
      </c>
      <c r="F34" s="57" t="s">
        <v>20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6" spans="2:14" ht="13.5" thickBot="1">
      <c r="B36" t="s">
        <v>4</v>
      </c>
      <c r="E36" s="120" t="s">
        <v>77</v>
      </c>
      <c r="F36" s="25" t="s">
        <v>117</v>
      </c>
      <c r="G36" s="25"/>
      <c r="K36" s="25" t="s">
        <v>21</v>
      </c>
      <c r="N36" s="119" t="s">
        <v>76</v>
      </c>
    </row>
    <row r="37" spans="2:16" ht="13.5" thickBot="1">
      <c r="B37" s="4"/>
      <c r="C37" s="1">
        <v>1</v>
      </c>
      <c r="D37" s="2">
        <f aca="true" t="shared" si="0" ref="D37:N37">C37+1</f>
        <v>2</v>
      </c>
      <c r="E37" s="2">
        <f t="shared" si="0"/>
        <v>3</v>
      </c>
      <c r="F37" s="2">
        <f t="shared" si="0"/>
        <v>4</v>
      </c>
      <c r="G37" s="2">
        <f t="shared" si="0"/>
        <v>5</v>
      </c>
      <c r="H37" s="2">
        <f t="shared" si="0"/>
        <v>6</v>
      </c>
      <c r="I37" s="2">
        <f t="shared" si="0"/>
        <v>7</v>
      </c>
      <c r="J37" s="2">
        <f t="shared" si="0"/>
        <v>8</v>
      </c>
      <c r="K37" s="2">
        <f t="shared" si="0"/>
        <v>9</v>
      </c>
      <c r="L37" s="2">
        <f t="shared" si="0"/>
        <v>10</v>
      </c>
      <c r="M37" s="2">
        <f t="shared" si="0"/>
        <v>11</v>
      </c>
      <c r="N37" s="3">
        <f t="shared" si="0"/>
        <v>12</v>
      </c>
      <c r="O37" s="16" t="s">
        <v>9</v>
      </c>
      <c r="P37" s="17"/>
    </row>
    <row r="38" spans="2:16" ht="13.5" thickBot="1">
      <c r="B38" s="152"/>
      <c r="C38" s="196" t="s">
        <v>155</v>
      </c>
      <c r="D38" s="197" t="s">
        <v>156</v>
      </c>
      <c r="E38" s="197" t="s">
        <v>157</v>
      </c>
      <c r="F38" s="197" t="s">
        <v>158</v>
      </c>
      <c r="G38" s="197" t="s">
        <v>159</v>
      </c>
      <c r="H38" s="197" t="s">
        <v>160</v>
      </c>
      <c r="I38" s="197" t="s">
        <v>161</v>
      </c>
      <c r="J38" s="197" t="s">
        <v>162</v>
      </c>
      <c r="K38" s="197" t="s">
        <v>163</v>
      </c>
      <c r="L38" s="197" t="s">
        <v>164</v>
      </c>
      <c r="M38" s="197" t="s">
        <v>165</v>
      </c>
      <c r="N38" s="198" t="s">
        <v>166</v>
      </c>
      <c r="O38" s="5" t="s">
        <v>10</v>
      </c>
      <c r="P38" s="5" t="s">
        <v>11</v>
      </c>
    </row>
    <row r="39" spans="1:17" ht="12.75">
      <c r="A39" s="26" t="s">
        <v>14</v>
      </c>
      <c r="B39" s="86">
        <f>IF(MAX(B40:B$50)&lt;$E$11-0.5,B40+1,"")</f>
      </c>
      <c r="C39" s="246"/>
      <c r="D39" s="247"/>
      <c r="E39" s="247"/>
      <c r="F39" s="247"/>
      <c r="G39" s="247"/>
      <c r="H39" s="7"/>
      <c r="I39" s="7"/>
      <c r="J39" s="7"/>
      <c r="K39" s="7"/>
      <c r="L39" s="7"/>
      <c r="M39" s="7"/>
      <c r="N39" s="8"/>
      <c r="O39" s="13"/>
      <c r="P39" s="51">
        <f>IF($L$10=3,SUM(C39:N39),"")</f>
      </c>
      <c r="Q39" s="328"/>
    </row>
    <row r="40" spans="1:17" ht="12.75">
      <c r="A40" s="26" t="s">
        <v>15</v>
      </c>
      <c r="B40" s="86">
        <f>IF(MAX(B41:B$50)&lt;$E$11-0.5,B41+1,"")</f>
        <v>10</v>
      </c>
      <c r="C40" s="248">
        <v>18.4</v>
      </c>
      <c r="D40" s="249">
        <v>12.4</v>
      </c>
      <c r="E40" s="249">
        <v>10.3</v>
      </c>
      <c r="F40" s="249"/>
      <c r="G40" s="249"/>
      <c r="H40" s="9"/>
      <c r="I40" s="9"/>
      <c r="J40" s="9"/>
      <c r="K40" s="9"/>
      <c r="L40" s="9"/>
      <c r="M40" s="9"/>
      <c r="N40" s="10"/>
      <c r="O40" s="14"/>
      <c r="P40" s="52">
        <f aca="true" t="shared" si="1" ref="P40:P50">IF($L$10=3,SUM(C40:N40),"")</f>
      </c>
      <c r="Q40" s="328"/>
    </row>
    <row r="41" spans="2:17" ht="12.75">
      <c r="B41" s="86">
        <f>IF(MAX(B42:B$50)&lt;$E$11-0.5,B42+1,"")</f>
        <v>9</v>
      </c>
      <c r="C41" s="248">
        <v>24.9</v>
      </c>
      <c r="D41" s="249">
        <v>26.8</v>
      </c>
      <c r="E41" s="249">
        <v>23</v>
      </c>
      <c r="F41" s="249"/>
      <c r="G41" s="249"/>
      <c r="H41" s="9"/>
      <c r="I41" s="9"/>
      <c r="J41" s="9"/>
      <c r="K41" s="9"/>
      <c r="L41" s="9"/>
      <c r="M41" s="9"/>
      <c r="N41" s="10"/>
      <c r="O41" s="14"/>
      <c r="P41" s="52">
        <f t="shared" si="1"/>
      </c>
      <c r="Q41" s="328"/>
    </row>
    <row r="42" spans="1:17" ht="12.75">
      <c r="A42" s="76" t="s">
        <v>66</v>
      </c>
      <c r="B42" s="86">
        <f>IF(MAX(B43:B$50)&lt;$E$11-0.5,B43+1,"")</f>
        <v>8</v>
      </c>
      <c r="C42" s="248">
        <v>28.6</v>
      </c>
      <c r="D42" s="249">
        <v>34.6</v>
      </c>
      <c r="E42" s="249">
        <v>34.6</v>
      </c>
      <c r="F42" s="249"/>
      <c r="G42" s="249"/>
      <c r="H42" s="9"/>
      <c r="I42" s="9"/>
      <c r="J42" s="9"/>
      <c r="K42" s="9"/>
      <c r="L42" s="9"/>
      <c r="M42" s="9"/>
      <c r="N42" s="10"/>
      <c r="O42" s="14"/>
      <c r="P42" s="52">
        <f t="shared" si="1"/>
      </c>
      <c r="Q42" s="328"/>
    </row>
    <row r="43" spans="1:17" ht="12.75">
      <c r="A43" s="76" t="s">
        <v>65</v>
      </c>
      <c r="B43" s="86">
        <f>IF(MAX(B44:B$50)&lt;$E$11-0.5,B44+1,"")</f>
        <v>7</v>
      </c>
      <c r="C43" s="248">
        <v>15.4</v>
      </c>
      <c r="D43" s="249">
        <v>18.2</v>
      </c>
      <c r="E43" s="249">
        <v>20.6</v>
      </c>
      <c r="F43" s="249"/>
      <c r="G43" s="249"/>
      <c r="H43" s="9"/>
      <c r="I43" s="9"/>
      <c r="J43" s="9"/>
      <c r="K43" s="9"/>
      <c r="L43" s="9"/>
      <c r="M43" s="9"/>
      <c r="N43" s="10"/>
      <c r="O43" s="14"/>
      <c r="P43" s="52">
        <f t="shared" si="1"/>
      </c>
      <c r="Q43" s="328"/>
    </row>
    <row r="44" spans="1:17" ht="12.75">
      <c r="A44" s="27" t="s">
        <v>17</v>
      </c>
      <c r="B44" s="86">
        <f>IF(MAX(B45:B$50)&lt;$E$11-0.5,B45+1,"")</f>
        <v>6</v>
      </c>
      <c r="C44" s="248">
        <v>5.1</v>
      </c>
      <c r="D44" s="249">
        <v>3.8</v>
      </c>
      <c r="E44" s="249">
        <v>6.8</v>
      </c>
      <c r="F44" s="249"/>
      <c r="G44" s="249"/>
      <c r="H44" s="9"/>
      <c r="I44" s="9"/>
      <c r="J44" s="9"/>
      <c r="K44" s="9"/>
      <c r="L44" s="9"/>
      <c r="M44" s="9"/>
      <c r="N44" s="10"/>
      <c r="O44" s="14"/>
      <c r="P44" s="52">
        <f t="shared" si="1"/>
      </c>
      <c r="Q44" s="328"/>
    </row>
    <row r="45" spans="1:17" ht="12.75">
      <c r="A45" s="76" t="s">
        <v>65</v>
      </c>
      <c r="B45" s="86">
        <f>IF(MAX(B46:B$50)&lt;$E$11-0.5,B46+1,"")</f>
        <v>5</v>
      </c>
      <c r="C45" s="248">
        <v>5</v>
      </c>
      <c r="D45" s="249">
        <v>3.2</v>
      </c>
      <c r="E45" s="249">
        <v>3.4</v>
      </c>
      <c r="F45" s="249"/>
      <c r="G45" s="249"/>
      <c r="H45" s="9"/>
      <c r="I45" s="9"/>
      <c r="J45" s="9"/>
      <c r="K45" s="9"/>
      <c r="L45" s="9"/>
      <c r="M45" s="9"/>
      <c r="N45" s="10"/>
      <c r="O45" s="14"/>
      <c r="P45" s="52">
        <f t="shared" si="1"/>
      </c>
      <c r="Q45" s="328"/>
    </row>
    <row r="46" spans="1:17" ht="12.75">
      <c r="A46" s="76" t="s">
        <v>65</v>
      </c>
      <c r="B46" s="86">
        <f>IF(MAX(B47:B$50)&lt;$E$11-0.5,B47+1,"")</f>
        <v>4</v>
      </c>
      <c r="C46" s="248">
        <v>1.1</v>
      </c>
      <c r="D46" s="249">
        <v>0.6</v>
      </c>
      <c r="E46" s="249">
        <v>0.7</v>
      </c>
      <c r="F46" s="249"/>
      <c r="G46" s="249"/>
      <c r="H46" s="9"/>
      <c r="I46" s="9"/>
      <c r="J46" s="9"/>
      <c r="K46" s="9"/>
      <c r="L46" s="9"/>
      <c r="M46" s="9"/>
      <c r="N46" s="10"/>
      <c r="O46" s="14"/>
      <c r="P46" s="52">
        <f t="shared" si="1"/>
      </c>
      <c r="Q46" s="328"/>
    </row>
    <row r="47" spans="1:17" ht="12.75">
      <c r="A47" s="76" t="s">
        <v>66</v>
      </c>
      <c r="B47" s="86">
        <f>IF(MAX(B48:B$50)&lt;$E$11-0.5,B48+1,"")</f>
        <v>3</v>
      </c>
      <c r="C47" s="248">
        <v>0.7</v>
      </c>
      <c r="D47" s="249">
        <v>0.2</v>
      </c>
      <c r="E47" s="249">
        <v>0.2</v>
      </c>
      <c r="F47" s="249"/>
      <c r="G47" s="249"/>
      <c r="H47" s="9"/>
      <c r="I47" s="9"/>
      <c r="J47" s="9"/>
      <c r="K47" s="9"/>
      <c r="L47" s="9"/>
      <c r="M47" s="9"/>
      <c r="N47" s="10"/>
      <c r="O47" s="14"/>
      <c r="P47" s="52">
        <f t="shared" si="1"/>
      </c>
      <c r="Q47" s="328"/>
    </row>
    <row r="48" spans="1:17" ht="12.75">
      <c r="A48" s="76"/>
      <c r="B48" s="86">
        <f>IF(MAX(B49:B$50)&lt;$E$11-0.5,B49+1,"")</f>
        <v>2</v>
      </c>
      <c r="C48" s="248">
        <v>0.4</v>
      </c>
      <c r="D48" s="249">
        <v>0.1</v>
      </c>
      <c r="E48" s="249">
        <v>0.3</v>
      </c>
      <c r="F48" s="249"/>
      <c r="G48" s="249"/>
      <c r="H48" s="9"/>
      <c r="I48" s="9"/>
      <c r="J48" s="9"/>
      <c r="K48" s="9"/>
      <c r="L48" s="9"/>
      <c r="M48" s="9"/>
      <c r="N48" s="10"/>
      <c r="O48" s="14"/>
      <c r="P48" s="52">
        <f t="shared" si="1"/>
      </c>
      <c r="Q48" s="328"/>
    </row>
    <row r="49" spans="1:17" ht="12.75">
      <c r="A49" s="26" t="s">
        <v>14</v>
      </c>
      <c r="B49" s="260">
        <f>E12+1</f>
        <v>1</v>
      </c>
      <c r="C49" s="248">
        <v>0.1</v>
      </c>
      <c r="D49" s="249">
        <v>0.1</v>
      </c>
      <c r="E49" s="249">
        <v>0</v>
      </c>
      <c r="F49" s="249"/>
      <c r="G49" s="249"/>
      <c r="H49" s="9"/>
      <c r="I49" s="9"/>
      <c r="J49" s="9"/>
      <c r="K49" s="9"/>
      <c r="L49" s="9"/>
      <c r="M49" s="9"/>
      <c r="N49" s="10"/>
      <c r="O49" s="14"/>
      <c r="P49" s="52">
        <f t="shared" si="1"/>
      </c>
      <c r="Q49" s="329"/>
    </row>
    <row r="50" spans="1:17" ht="13.5" thickBot="1">
      <c r="A50" s="28" t="s">
        <v>16</v>
      </c>
      <c r="B50" s="259">
        <f>E12</f>
        <v>0</v>
      </c>
      <c r="C50" s="250">
        <v>0.4</v>
      </c>
      <c r="D50" s="251">
        <v>0.1</v>
      </c>
      <c r="E50" s="251">
        <v>0.1</v>
      </c>
      <c r="F50" s="251"/>
      <c r="G50" s="251"/>
      <c r="H50" s="11"/>
      <c r="I50" s="11"/>
      <c r="J50" s="11"/>
      <c r="K50" s="11"/>
      <c r="L50" s="11"/>
      <c r="M50" s="11"/>
      <c r="N50" s="12"/>
      <c r="O50" s="15"/>
      <c r="P50" s="52">
        <f t="shared" si="1"/>
      </c>
      <c r="Q50" s="329"/>
    </row>
    <row r="51" spans="1:17" ht="13.5" thickBot="1">
      <c r="A51" s="23" t="s">
        <v>0</v>
      </c>
      <c r="B51" s="258" t="s">
        <v>12</v>
      </c>
      <c r="C51" s="252">
        <v>1431</v>
      </c>
      <c r="D51" s="252">
        <v>1699</v>
      </c>
      <c r="E51" s="252">
        <v>1545</v>
      </c>
      <c r="F51" s="252"/>
      <c r="G51" s="19"/>
      <c r="H51" s="19"/>
      <c r="I51" s="19"/>
      <c r="J51" s="19"/>
      <c r="K51" s="19"/>
      <c r="L51" s="19"/>
      <c r="M51" s="19"/>
      <c r="N51" s="20"/>
      <c r="O51" s="21"/>
      <c r="P51" s="53"/>
      <c r="Q51" s="330"/>
    </row>
    <row r="52" spans="1:16" ht="13.5" thickBot="1">
      <c r="A52" s="22"/>
      <c r="B52" s="18" t="s">
        <v>11</v>
      </c>
      <c r="C52" s="48">
        <f>IF(OR($L$10=2,$L$10=4),SUM(C39:C50),"")</f>
        <v>100.10000000000001</v>
      </c>
      <c r="D52" s="49">
        <f aca="true" t="shared" si="2" ref="D52:N52">IF(OR($L$10=2,$L$10=4),SUM(D39:D50),"")</f>
        <v>100.1</v>
      </c>
      <c r="E52" s="49">
        <f t="shared" si="2"/>
        <v>100</v>
      </c>
      <c r="F52" s="49">
        <f t="shared" si="2"/>
        <v>0</v>
      </c>
      <c r="G52" s="49">
        <f t="shared" si="2"/>
        <v>0</v>
      </c>
      <c r="H52" s="49">
        <f t="shared" si="2"/>
        <v>0</v>
      </c>
      <c r="I52" s="49">
        <f t="shared" si="2"/>
        <v>0</v>
      </c>
      <c r="J52" s="49">
        <f t="shared" si="2"/>
        <v>0</v>
      </c>
      <c r="K52" s="49">
        <f t="shared" si="2"/>
        <v>0</v>
      </c>
      <c r="L52" s="49">
        <f t="shared" si="2"/>
        <v>0</v>
      </c>
      <c r="M52" s="49">
        <f t="shared" si="2"/>
        <v>0</v>
      </c>
      <c r="N52" s="49">
        <f t="shared" si="2"/>
        <v>0</v>
      </c>
      <c r="O52" s="50"/>
      <c r="P52" s="54" t="str">
        <f>IF($L$10=2,SUM(C39:N50)," ")</f>
        <v> </v>
      </c>
    </row>
    <row r="53" spans="2:11" ht="12.75">
      <c r="B53" s="241">
        <f>COUNT(C50:N50)</f>
        <v>3</v>
      </c>
      <c r="C53" s="238">
        <f>IF(ABS(B53-E18)&lt;0.5,"","INPUT ERROR NR OF CORRELATE LEVELS !!")</f>
      </c>
      <c r="K53" s="238">
        <f>IF(AND(OR(L10=3,L10=4),SUM(C51:N51)&lt;2),"ENTER SUM COLUMN FREQUENCIES !!","")</f>
      </c>
    </row>
    <row r="54" spans="1:17" ht="12.75">
      <c r="A54" s="245">
        <f>IF(ABS(COUNT(C39:C50)-E13)&gt;0.5,"INPUT ERROR !!","")</f>
      </c>
      <c r="B54" s="29"/>
      <c r="C54" s="29" t="s">
        <v>18</v>
      </c>
      <c r="D54" s="29"/>
      <c r="E54" s="29"/>
      <c r="F54" s="29"/>
      <c r="G54" s="29"/>
      <c r="H54" s="55">
        <f>IF('Excerpt WDH'!C50&lt;0.001," ",SUM('Excerpt WDH'!C39:N50))</f>
        <v>300.2000000000001</v>
      </c>
      <c r="I54" s="29"/>
      <c r="J54" s="29" t="s">
        <v>74</v>
      </c>
      <c r="K54" s="29"/>
      <c r="L54" s="29"/>
      <c r="M54" s="29"/>
      <c r="O54" s="199">
        <f>IF($L$10=1,SUM(C39:N50),IF($L$10=2,Frequencies!E3,IF($L$10=3,SUM(O39:O50),IF($L$10=4,SUM(C51:N51),""))))</f>
        <v>4675</v>
      </c>
      <c r="Q54" s="29"/>
    </row>
    <row r="55" spans="1:17" ht="12.75">
      <c r="A55" s="29"/>
      <c r="B55" s="29"/>
      <c r="C55" s="29"/>
      <c r="D55" s="29"/>
      <c r="E55" s="29"/>
      <c r="F55" s="29"/>
      <c r="G55" s="29"/>
      <c r="H55" s="78"/>
      <c r="I55" s="29"/>
      <c r="J55" s="29" t="s">
        <v>169</v>
      </c>
      <c r="K55" s="29"/>
      <c r="L55" s="29"/>
      <c r="M55" s="29"/>
      <c r="O55" s="243">
        <v>0</v>
      </c>
      <c r="P55" t="s">
        <v>178</v>
      </c>
      <c r="Q55" s="29"/>
    </row>
    <row r="56" spans="1:29" s="144" customFormat="1" ht="12.75">
      <c r="A56" s="79"/>
      <c r="B56" s="79"/>
      <c r="C56" s="79"/>
      <c r="D56" s="79"/>
      <c r="E56" s="79"/>
      <c r="F56" s="79"/>
      <c r="G56" s="79"/>
      <c r="H56" s="78"/>
      <c r="I56" s="79"/>
      <c r="J56" s="79"/>
      <c r="K56" s="79"/>
      <c r="L56" s="79"/>
      <c r="M56" s="79"/>
      <c r="O56" s="157"/>
      <c r="Q56" s="79"/>
      <c r="R56"/>
      <c r="S56"/>
      <c r="T56"/>
      <c r="U56"/>
      <c r="V56"/>
      <c r="W56"/>
      <c r="X56"/>
      <c r="Y56"/>
      <c r="Z56"/>
      <c r="AA56"/>
      <c r="AB56"/>
      <c r="AC56"/>
    </row>
    <row r="57" spans="1:16" ht="13.5" thickBot="1">
      <c r="A57" s="110"/>
      <c r="B57" s="200"/>
      <c r="C57" s="201"/>
      <c r="D57" s="201"/>
      <c r="E57" s="202"/>
      <c r="F57" s="110"/>
      <c r="G57" s="110"/>
      <c r="H57" s="110"/>
      <c r="I57" s="110"/>
      <c r="J57" s="110"/>
      <c r="K57" s="110"/>
      <c r="L57" s="110"/>
      <c r="M57" s="110"/>
      <c r="N57" s="110"/>
      <c r="O57" s="203"/>
      <c r="P57" s="110"/>
    </row>
    <row r="58" spans="1:18" s="144" customFormat="1" ht="13.5" thickTop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5"/>
      <c r="O58" s="206"/>
      <c r="P58" s="205"/>
      <c r="Q58" s="79"/>
      <c r="R58" s="79"/>
    </row>
    <row r="59" spans="1:18" s="144" customFormat="1" ht="12.75">
      <c r="A59" s="79"/>
      <c r="B59" s="79"/>
      <c r="C59" s="79"/>
      <c r="D59" s="79"/>
      <c r="E59" s="79"/>
      <c r="F59" s="79"/>
      <c r="G59" s="79"/>
      <c r="H59" s="78"/>
      <c r="I59" s="79"/>
      <c r="J59" s="79"/>
      <c r="K59" s="79"/>
      <c r="L59" s="79"/>
      <c r="M59" s="79"/>
      <c r="O59" s="157"/>
      <c r="Q59" s="79"/>
      <c r="R59" s="79"/>
    </row>
    <row r="60" spans="1:18" s="144" customFormat="1" ht="12.75">
      <c r="A60" s="79"/>
      <c r="B60" s="79"/>
      <c r="C60" s="79"/>
      <c r="D60" s="79"/>
      <c r="E60" s="79"/>
      <c r="F60" s="79"/>
      <c r="G60" s="79"/>
      <c r="H60" s="78"/>
      <c r="I60" s="79"/>
      <c r="J60" s="79"/>
      <c r="K60" s="79"/>
      <c r="L60" s="79"/>
      <c r="M60" s="79"/>
      <c r="O60" s="157"/>
      <c r="Q60" s="79"/>
      <c r="R60" s="79"/>
    </row>
    <row r="61" spans="1:18" s="144" customFormat="1" ht="12.75">
      <c r="A61" s="79"/>
      <c r="B61" s="79"/>
      <c r="C61" s="79"/>
      <c r="D61" s="79"/>
      <c r="E61" s="79"/>
      <c r="F61" s="79"/>
      <c r="G61" s="79"/>
      <c r="H61" s="78"/>
      <c r="I61" s="79"/>
      <c r="J61" s="79"/>
      <c r="K61" s="79"/>
      <c r="L61" s="79"/>
      <c r="M61" s="79"/>
      <c r="O61" s="157"/>
      <c r="Q61" s="79"/>
      <c r="R61" s="79"/>
    </row>
    <row r="62" spans="1:18" s="144" customFormat="1" ht="12.75">
      <c r="A62" s="79"/>
      <c r="B62" s="79"/>
      <c r="C62" s="79"/>
      <c r="D62" s="79"/>
      <c r="E62" s="79"/>
      <c r="F62" s="79"/>
      <c r="G62" s="79"/>
      <c r="H62" s="78"/>
      <c r="I62" s="79"/>
      <c r="J62" s="79"/>
      <c r="K62" s="79"/>
      <c r="L62" s="79"/>
      <c r="M62" s="79"/>
      <c r="O62" s="157"/>
      <c r="Q62" s="79"/>
      <c r="R62" s="79"/>
    </row>
    <row r="63" spans="1:18" s="144" customFormat="1" ht="12.75">
      <c r="A63" s="79"/>
      <c r="B63" s="79"/>
      <c r="C63" s="79"/>
      <c r="D63" s="79"/>
      <c r="E63" s="79"/>
      <c r="F63" s="79"/>
      <c r="G63" s="79"/>
      <c r="H63" s="78"/>
      <c r="I63" s="79"/>
      <c r="J63" s="244"/>
      <c r="K63" s="79"/>
      <c r="L63" s="79"/>
      <c r="M63" s="79"/>
      <c r="O63" s="157"/>
      <c r="Q63" s="79"/>
      <c r="R63" s="79"/>
    </row>
    <row r="64" spans="1:18" s="144" customFormat="1" ht="12.75">
      <c r="A64" s="79"/>
      <c r="B64" s="79"/>
      <c r="C64" s="79"/>
      <c r="D64" s="79"/>
      <c r="E64" s="79"/>
      <c r="F64" s="79"/>
      <c r="G64" s="79"/>
      <c r="H64" s="78"/>
      <c r="I64" s="79"/>
      <c r="J64" s="79"/>
      <c r="K64" s="79"/>
      <c r="L64" s="79"/>
      <c r="M64" s="79"/>
      <c r="O64" s="157"/>
      <c r="Q64" s="79"/>
      <c r="R64" s="79"/>
    </row>
    <row r="65" spans="1:18" s="144" customFormat="1" ht="12.75">
      <c r="A65" s="79"/>
      <c r="B65" s="79"/>
      <c r="C65" s="79"/>
      <c r="D65" s="79"/>
      <c r="E65" s="79"/>
      <c r="F65" s="79"/>
      <c r="G65" s="79"/>
      <c r="H65" s="78"/>
      <c r="I65" s="79"/>
      <c r="J65" s="79"/>
      <c r="K65" s="79"/>
      <c r="L65" s="79"/>
      <c r="M65" s="79"/>
      <c r="O65" s="157"/>
      <c r="Q65" s="79"/>
      <c r="R65" s="79"/>
    </row>
    <row r="66" spans="1:18" s="144" customFormat="1" ht="12.75">
      <c r="A66" s="79"/>
      <c r="B66" s="79"/>
      <c r="C66" s="79"/>
      <c r="D66" s="79"/>
      <c r="E66" s="79"/>
      <c r="F66" s="79"/>
      <c r="G66" s="79"/>
      <c r="H66" s="78"/>
      <c r="I66" s="79"/>
      <c r="J66" s="79"/>
      <c r="K66" s="79"/>
      <c r="L66" s="79"/>
      <c r="M66" s="79"/>
      <c r="O66" s="157"/>
      <c r="Q66" s="79"/>
      <c r="R66" s="79"/>
    </row>
    <row r="67" spans="1:18" s="144" customFormat="1" ht="12.75">
      <c r="A67" s="79"/>
      <c r="B67" s="79"/>
      <c r="C67" s="79"/>
      <c r="D67" s="79"/>
      <c r="E67" s="79"/>
      <c r="F67" s="79"/>
      <c r="G67" s="79"/>
      <c r="H67" s="78"/>
      <c r="I67" s="79"/>
      <c r="J67" s="79"/>
      <c r="K67" s="79"/>
      <c r="L67" s="79"/>
      <c r="M67" s="79"/>
      <c r="O67" s="157"/>
      <c r="Q67" s="79"/>
      <c r="R67" s="79"/>
    </row>
    <row r="68" spans="1:18" s="144" customFormat="1" ht="12.75">
      <c r="A68" s="79"/>
      <c r="B68" s="79"/>
      <c r="C68" s="79"/>
      <c r="D68" s="79"/>
      <c r="E68" s="79"/>
      <c r="F68" s="79"/>
      <c r="G68" s="79"/>
      <c r="H68" s="78"/>
      <c r="I68" s="79"/>
      <c r="J68" s="79"/>
      <c r="K68" s="79"/>
      <c r="L68" s="79"/>
      <c r="M68" s="79"/>
      <c r="O68" s="157"/>
      <c r="Q68" s="79"/>
      <c r="R68" s="79"/>
    </row>
    <row r="69" spans="1:18" s="144" customFormat="1" ht="12.75">
      <c r="A69" s="79"/>
      <c r="B69" s="79"/>
      <c r="C69" s="79"/>
      <c r="D69" s="79"/>
      <c r="E69" s="79"/>
      <c r="F69" s="79"/>
      <c r="G69" s="79"/>
      <c r="H69" s="78"/>
      <c r="I69" s="79"/>
      <c r="J69" s="79"/>
      <c r="K69" s="79"/>
      <c r="L69" s="79"/>
      <c r="M69" s="79"/>
      <c r="O69" s="157"/>
      <c r="Q69" s="79"/>
      <c r="R69" s="79"/>
    </row>
    <row r="70" spans="1:18" s="144" customFormat="1" ht="12.75">
      <c r="A70" s="79"/>
      <c r="B70" s="79"/>
      <c r="C70" s="79"/>
      <c r="D70" s="79"/>
      <c r="E70" s="79"/>
      <c r="F70" s="79"/>
      <c r="G70" s="79"/>
      <c r="H70" s="78"/>
      <c r="I70" s="79"/>
      <c r="J70" s="79"/>
      <c r="K70" s="79"/>
      <c r="L70" s="79"/>
      <c r="M70" s="79"/>
      <c r="O70" s="157"/>
      <c r="Q70" s="79"/>
      <c r="R70" s="79"/>
    </row>
    <row r="71" spans="1:18" s="144" customFormat="1" ht="12.75">
      <c r="A71" s="79"/>
      <c r="B71" s="79"/>
      <c r="C71" s="79"/>
      <c r="D71" s="79"/>
      <c r="E71" s="79"/>
      <c r="F71" s="79"/>
      <c r="G71" s="79"/>
      <c r="H71" s="78"/>
      <c r="I71" s="79"/>
      <c r="J71" s="79"/>
      <c r="K71" s="79"/>
      <c r="L71" s="79"/>
      <c r="M71" s="79"/>
      <c r="O71" s="157"/>
      <c r="Q71" s="79"/>
      <c r="R71" s="79"/>
    </row>
    <row r="72" spans="1:18" s="144" customFormat="1" ht="12.75">
      <c r="A72" s="79"/>
      <c r="B72" s="79"/>
      <c r="C72" s="79"/>
      <c r="D72" s="79"/>
      <c r="E72" s="79"/>
      <c r="F72" s="79"/>
      <c r="G72" s="79"/>
      <c r="H72" s="78"/>
      <c r="I72" s="79"/>
      <c r="J72" s="79"/>
      <c r="K72" s="79"/>
      <c r="L72" s="79"/>
      <c r="M72" s="79"/>
      <c r="O72" s="157"/>
      <c r="Q72" s="79"/>
      <c r="R72" s="79"/>
    </row>
    <row r="73" spans="1:18" s="144" customFormat="1" ht="12.75">
      <c r="A73" s="79"/>
      <c r="B73" s="79"/>
      <c r="C73" s="79"/>
      <c r="D73" s="79"/>
      <c r="E73" s="79"/>
      <c r="F73" s="79"/>
      <c r="G73" s="79"/>
      <c r="H73" s="78"/>
      <c r="I73" s="79"/>
      <c r="J73" s="79"/>
      <c r="K73" s="79"/>
      <c r="L73" s="79"/>
      <c r="M73" s="79"/>
      <c r="O73" s="157"/>
      <c r="Q73" s="79"/>
      <c r="R73" s="79"/>
    </row>
  </sheetData>
  <sheetProtection password="C550" sheet="1" objects="1" scenarios="1"/>
  <mergeCells count="5">
    <mergeCell ref="A4:M4"/>
    <mergeCell ref="C7:E7"/>
    <mergeCell ref="I17:P17"/>
    <mergeCell ref="N5:P5"/>
    <mergeCell ref="N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76"/>
  <sheetViews>
    <sheetView showGridLines="0" zoomScalePageLayoutView="0" workbookViewId="0" topLeftCell="A1">
      <selection activeCell="M3" sqref="M3"/>
    </sheetView>
  </sheetViews>
  <sheetFormatPr defaultColWidth="9.140625" defaultRowHeight="12.75"/>
  <cols>
    <col min="1" max="1" width="10.7109375" style="0" customWidth="1"/>
    <col min="2" max="5" width="5.7109375" style="0" customWidth="1"/>
    <col min="6" max="6" width="6.28125" style="0" customWidth="1"/>
    <col min="7" max="20" width="5.7109375" style="0" customWidth="1"/>
  </cols>
  <sheetData>
    <row r="1" spans="1:16" ht="13.5" thickBot="1">
      <c r="A1" s="89" t="s">
        <v>63</v>
      </c>
      <c r="B1" s="39"/>
      <c r="C1" s="6"/>
      <c r="D1" s="6"/>
      <c r="E1" s="6"/>
      <c r="F1" s="6"/>
      <c r="G1" s="6"/>
      <c r="H1" s="6"/>
      <c r="I1" s="6"/>
      <c r="J1" s="39"/>
      <c r="K1" s="39"/>
      <c r="L1" s="39"/>
      <c r="M1" s="39"/>
      <c r="N1" s="39"/>
      <c r="O1" s="39"/>
      <c r="P1" s="40"/>
    </row>
    <row r="2" spans="2:13" ht="12.75">
      <c r="B2" t="s">
        <v>75</v>
      </c>
      <c r="M2" s="346" t="s">
        <v>199</v>
      </c>
    </row>
    <row r="3" ht="13.5" thickBot="1">
      <c r="A3" s="138"/>
    </row>
    <row r="4" spans="1:15" ht="12.75">
      <c r="A4" s="145" t="s">
        <v>106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ht="12.75">
      <c r="A5" s="149" t="s">
        <v>115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50"/>
    </row>
    <row r="6" spans="1:15" ht="12.75">
      <c r="A6" s="151" t="s">
        <v>116</v>
      </c>
      <c r="B6" s="158" t="s">
        <v>107</v>
      </c>
      <c r="C6" s="10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50"/>
    </row>
    <row r="7" spans="1:15" ht="12.75">
      <c r="A7" s="149" t="s">
        <v>179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50"/>
    </row>
    <row r="8" spans="1:15" ht="12.75">
      <c r="A8" s="38" t="s">
        <v>180</v>
      </c>
      <c r="B8" s="38"/>
      <c r="C8" s="38"/>
      <c r="D8" s="38"/>
      <c r="E8" s="38"/>
      <c r="G8" s="38"/>
      <c r="H8" s="38"/>
      <c r="I8" s="38"/>
      <c r="J8" s="38"/>
      <c r="K8" s="38"/>
      <c r="L8" s="38"/>
      <c r="M8" s="38"/>
      <c r="N8" s="38"/>
      <c r="O8" s="150"/>
    </row>
    <row r="9" spans="1:15" ht="12.75">
      <c r="A9" s="149" t="s">
        <v>108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50"/>
    </row>
    <row r="10" spans="1:15" ht="12.75">
      <c r="A10" s="149" t="s">
        <v>110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50"/>
    </row>
    <row r="11" spans="1:15" ht="12.75">
      <c r="A11" s="149" t="s">
        <v>109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50"/>
    </row>
    <row r="12" spans="1:15" ht="12.75">
      <c r="A12" s="149" t="s">
        <v>111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50"/>
    </row>
    <row r="13" spans="1:15" ht="12.75">
      <c r="A13" s="149" t="s">
        <v>140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50"/>
    </row>
    <row r="14" spans="1:15" ht="12.75">
      <c r="A14" s="149" t="s">
        <v>141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50"/>
    </row>
    <row r="15" spans="1:15" ht="12.75">
      <c r="A15" s="149" t="s">
        <v>119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50"/>
    </row>
    <row r="16" spans="1:15" ht="12.75">
      <c r="A16" s="149" t="s">
        <v>120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50"/>
    </row>
    <row r="17" spans="1:15" ht="12.75">
      <c r="A17" s="149" t="s">
        <v>118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50"/>
    </row>
    <row r="18" spans="1:15" ht="12.75">
      <c r="A18" s="149" t="s">
        <v>122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50"/>
    </row>
    <row r="19" spans="1:15" ht="12" customHeight="1">
      <c r="A19" s="149" t="s">
        <v>121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50"/>
    </row>
    <row r="20" spans="1:15" ht="12.75">
      <c r="A20" s="149" t="s">
        <v>181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50"/>
    </row>
    <row r="21" spans="1:15" ht="12.75">
      <c r="A21" s="149" t="s">
        <v>113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50"/>
    </row>
    <row r="22" spans="1:15" ht="12.75">
      <c r="A22" s="149" t="s">
        <v>112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50"/>
    </row>
    <row r="23" spans="1:15" ht="12.75">
      <c r="A23" s="149" t="s">
        <v>182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50"/>
    </row>
    <row r="24" spans="1:15" ht="13.5" thickBot="1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4"/>
    </row>
    <row r="25" ht="12.75">
      <c r="A25" s="123"/>
    </row>
    <row r="26" ht="12.75">
      <c r="A26" s="155"/>
    </row>
    <row r="75" spans="17:18" ht="12.75">
      <c r="Q75" s="29"/>
      <c r="R75" s="29"/>
    </row>
    <row r="76" spans="17:18" ht="12.75">
      <c r="Q76" s="29"/>
      <c r="R76" s="29"/>
    </row>
  </sheetData>
  <sheetProtection password="C550" sheet="1" objects="1" scenarios="1"/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showGridLines="0" zoomScalePageLayoutView="0" workbookViewId="0" topLeftCell="A1">
      <selection activeCell="K25" sqref="K25"/>
    </sheetView>
  </sheetViews>
  <sheetFormatPr defaultColWidth="9.140625" defaultRowHeight="12.75"/>
  <cols>
    <col min="2" max="2" width="10.7109375" style="0" customWidth="1"/>
    <col min="4" max="4" width="10.7109375" style="0" bestFit="1" customWidth="1"/>
    <col min="5" max="5" width="12.7109375" style="0" customWidth="1"/>
    <col min="7" max="7" width="9.7109375" style="76" customWidth="1"/>
    <col min="8" max="8" width="10.7109375" style="76" bestFit="1" customWidth="1"/>
  </cols>
  <sheetData>
    <row r="1" spans="1:9" ht="14.25" thickBot="1" thickTop="1">
      <c r="A1" s="99"/>
      <c r="B1" s="93"/>
      <c r="C1" s="93"/>
      <c r="D1" s="93"/>
      <c r="E1" s="93"/>
      <c r="F1" s="93"/>
      <c r="G1" s="94"/>
      <c r="H1" s="114"/>
      <c r="I1" s="101"/>
    </row>
    <row r="2" spans="1:9" ht="13.5" thickBot="1">
      <c r="A2" s="101"/>
      <c r="B2" s="38"/>
      <c r="C2" s="89" t="s">
        <v>64</v>
      </c>
      <c r="D2" s="6"/>
      <c r="E2" s="92"/>
      <c r="F2" s="38"/>
      <c r="G2" s="95"/>
      <c r="H2" s="115"/>
      <c r="I2" s="101"/>
    </row>
    <row r="3" spans="1:9" ht="12.75">
      <c r="A3" s="101"/>
      <c r="B3" s="38"/>
      <c r="C3" s="38"/>
      <c r="D3" s="38"/>
      <c r="E3" s="38"/>
      <c r="F3" s="38"/>
      <c r="G3" s="95"/>
      <c r="H3" s="115"/>
      <c r="I3" s="101"/>
    </row>
    <row r="4" spans="1:9" ht="12.75">
      <c r="A4" s="101" t="s">
        <v>28</v>
      </c>
      <c r="B4" s="38"/>
      <c r="C4" s="38"/>
      <c r="D4" s="38"/>
      <c r="E4" s="73">
        <f>Frequencies!O22</f>
        <v>4679</v>
      </c>
      <c r="F4" s="38"/>
      <c r="G4" s="95"/>
      <c r="H4" s="115"/>
      <c r="I4" s="101"/>
    </row>
    <row r="5" spans="1:9" ht="12.75">
      <c r="A5" s="101" t="s">
        <v>29</v>
      </c>
      <c r="B5" s="38"/>
      <c r="C5" s="38"/>
      <c r="D5" s="38"/>
      <c r="E5" s="73">
        <f>'Excerpt WDH'!E13</f>
        <v>11</v>
      </c>
      <c r="F5" s="38"/>
      <c r="G5" s="95"/>
      <c r="H5" s="115"/>
      <c r="I5" s="101"/>
    </row>
    <row r="6" spans="1:9" ht="12.75">
      <c r="A6" s="101" t="s">
        <v>32</v>
      </c>
      <c r="B6" s="38"/>
      <c r="C6" s="38"/>
      <c r="D6" s="38"/>
      <c r="E6" s="73">
        <f>'Excerpt WDH'!E18</f>
        <v>3</v>
      </c>
      <c r="F6" s="38"/>
      <c r="G6" s="95"/>
      <c r="H6" s="115"/>
      <c r="I6" s="101"/>
    </row>
    <row r="7" spans="1:9" ht="12.75">
      <c r="A7" s="101" t="s">
        <v>44</v>
      </c>
      <c r="B7" s="38"/>
      <c r="C7" s="38"/>
      <c r="D7" s="38"/>
      <c r="E7" s="73">
        <f>MIN(E5,E6)</f>
        <v>3</v>
      </c>
      <c r="F7" s="38"/>
      <c r="G7" s="95"/>
      <c r="H7" s="115"/>
      <c r="I7" s="101"/>
    </row>
    <row r="8" spans="1:10" ht="12.75">
      <c r="A8" s="101"/>
      <c r="B8" s="38"/>
      <c r="C8" s="38"/>
      <c r="E8" s="38"/>
      <c r="F8" s="38"/>
      <c r="G8" s="95"/>
      <c r="H8" s="115"/>
      <c r="I8" s="101"/>
      <c r="J8" s="136"/>
    </row>
    <row r="9" spans="1:10" ht="12.75">
      <c r="A9" s="104" t="s">
        <v>33</v>
      </c>
      <c r="B9" s="38"/>
      <c r="C9" s="38"/>
      <c r="D9" s="38"/>
      <c r="E9" s="38"/>
      <c r="F9" s="38"/>
      <c r="G9" s="95"/>
      <c r="H9" s="115"/>
      <c r="I9" s="101"/>
      <c r="J9" s="136"/>
    </row>
    <row r="10" spans="1:10" ht="12.75">
      <c r="A10" s="101" t="s">
        <v>34</v>
      </c>
      <c r="B10" s="38"/>
      <c r="C10" s="38"/>
      <c r="D10" s="38"/>
      <c r="E10" s="141">
        <f>Pairs!H40</f>
        <v>2579958</v>
      </c>
      <c r="F10" s="38"/>
      <c r="G10" s="95"/>
      <c r="H10" s="115"/>
      <c r="I10" s="101"/>
      <c r="J10" s="136"/>
    </row>
    <row r="11" spans="1:10" ht="12.75">
      <c r="A11" s="101" t="s">
        <v>35</v>
      </c>
      <c r="B11" s="38"/>
      <c r="C11" s="38"/>
      <c r="D11" s="38"/>
      <c r="E11" s="141">
        <f>Pairs!H56</f>
        <v>3078261</v>
      </c>
      <c r="F11" s="38"/>
      <c r="G11" s="95"/>
      <c r="H11" s="115"/>
      <c r="I11" s="101"/>
      <c r="J11" s="136"/>
    </row>
    <row r="12" spans="1:10" ht="12.75">
      <c r="A12" s="101" t="s">
        <v>138</v>
      </c>
      <c r="B12" s="38"/>
      <c r="C12" s="38"/>
      <c r="D12" s="38"/>
      <c r="E12" s="242">
        <f>IF(OR(ABS('Excerpt WDH'!B53-E6)&gt;0.5,E6&lt;2.5),"x",E10-E11)</f>
        <v>-498303</v>
      </c>
      <c r="F12" s="38"/>
      <c r="G12" s="95"/>
      <c r="H12" s="115"/>
      <c r="I12" s="101"/>
      <c r="J12" s="324"/>
    </row>
    <row r="13" spans="1:10" ht="12.75">
      <c r="A13" s="101" t="s">
        <v>30</v>
      </c>
      <c r="B13" s="38"/>
      <c r="C13" s="38"/>
      <c r="D13" s="38"/>
      <c r="E13" s="141">
        <f>Pairs!G72</f>
        <v>2829466</v>
      </c>
      <c r="F13" s="38"/>
      <c r="G13" s="95"/>
      <c r="H13" s="115"/>
      <c r="I13" s="101"/>
      <c r="J13" s="325"/>
    </row>
    <row r="14" spans="1:10" ht="12.75">
      <c r="A14" s="101" t="s">
        <v>43</v>
      </c>
      <c r="B14" s="38"/>
      <c r="C14" s="38"/>
      <c r="D14" s="38"/>
      <c r="E14" s="141">
        <f>Pairs!G88</f>
        <v>1621231</v>
      </c>
      <c r="F14" s="38"/>
      <c r="G14" s="95"/>
      <c r="H14" s="115"/>
      <c r="I14" s="101"/>
      <c r="J14" s="136"/>
    </row>
    <row r="15" spans="1:10" ht="13.5" thickBot="1">
      <c r="A15" s="101" t="s">
        <v>31</v>
      </c>
      <c r="B15" s="38"/>
      <c r="C15" s="38"/>
      <c r="D15" s="38"/>
      <c r="E15" s="142">
        <f>Pairs!G105</f>
        <v>835265</v>
      </c>
      <c r="F15" s="38"/>
      <c r="G15" s="95"/>
      <c r="H15" s="115"/>
      <c r="I15" s="101"/>
      <c r="J15" s="136"/>
    </row>
    <row r="16" spans="1:10" ht="12.75">
      <c r="A16" s="101" t="s">
        <v>42</v>
      </c>
      <c r="B16" s="38"/>
      <c r="C16" s="38"/>
      <c r="D16" s="38"/>
      <c r="E16" s="143">
        <f>SUM(E10:E15)-E12</f>
        <v>10944181</v>
      </c>
      <c r="F16" s="38"/>
      <c r="G16" s="95"/>
      <c r="H16" s="115"/>
      <c r="I16" s="101"/>
      <c r="J16" s="136"/>
    </row>
    <row r="17" spans="1:10" ht="12.75">
      <c r="A17" s="101" t="s">
        <v>41</v>
      </c>
      <c r="B17" s="38"/>
      <c r="C17" s="38"/>
      <c r="D17" s="38"/>
      <c r="E17" s="141">
        <f>E4*(E4-1)/2</f>
        <v>10944181</v>
      </c>
      <c r="F17" s="38"/>
      <c r="G17" s="95"/>
      <c r="H17" s="115"/>
      <c r="J17" s="136"/>
    </row>
    <row r="18" spans="1:10" ht="12.75">
      <c r="A18" s="101"/>
      <c r="B18" s="38"/>
      <c r="C18" s="38"/>
      <c r="D18" s="38"/>
      <c r="E18" s="38"/>
      <c r="F18" s="38"/>
      <c r="G18" s="95"/>
      <c r="H18" s="115"/>
      <c r="J18" s="136"/>
    </row>
    <row r="19" spans="1:10" ht="13.5" thickBot="1">
      <c r="A19" s="57"/>
      <c r="B19" s="38"/>
      <c r="C19" s="38"/>
      <c r="D19" s="38"/>
      <c r="E19" s="83" t="s">
        <v>137</v>
      </c>
      <c r="F19" s="83" t="s">
        <v>136</v>
      </c>
      <c r="G19" s="360" t="s">
        <v>46</v>
      </c>
      <c r="H19" s="361"/>
      <c r="J19" s="136"/>
    </row>
    <row r="20" spans="1:9" ht="12.75">
      <c r="A20" s="101" t="s">
        <v>45</v>
      </c>
      <c r="B20" s="57"/>
      <c r="C20" s="57"/>
      <c r="D20" s="38"/>
      <c r="E20" s="84">
        <f>E12/(SQRT((E10+E11+E13)*(E10+E11+E14)))</f>
        <v>-0.06339420960261573</v>
      </c>
      <c r="F20" s="84">
        <f>Varcalc!I236</f>
        <v>0.01277977629566421</v>
      </c>
      <c r="G20" s="340" t="str">
        <f>IF(2*(1-(NORMDIST(ABS(E20),0,F20,TRUE)))&lt;0.0005," ",2*(1-(NORMDIST(ABS(E20),0,F20,TRUE))))</f>
        <v> </v>
      </c>
      <c r="H20" s="341" t="str">
        <f>IF(2*(1-(NORMDIST(ABS(E20),0,F20,TRUE)))&lt;0.0005,"&lt;0,001","")</f>
        <v>&lt;0,001</v>
      </c>
      <c r="I20" s="101"/>
    </row>
    <row r="21" spans="1:9" ht="12.75">
      <c r="A21" s="101" t="s">
        <v>139</v>
      </c>
      <c r="B21" s="38"/>
      <c r="C21" s="38"/>
      <c r="D21" s="38"/>
      <c r="E21" s="75">
        <f>2*E12*E7/(E4*E4*(E7-1))</f>
        <v>-0.06828238251597848</v>
      </c>
      <c r="F21" s="75">
        <f>Varcalc!G102</f>
        <v>0.013763550551853005</v>
      </c>
      <c r="G21" s="173" t="str">
        <f>IF(2*(1-(NORMDIST(ABS(E21),0,F21,TRUE)))&lt;0.0005,"   ",2*(1-(NORMDIST(ABS(E21),0,F21,TRUE))))</f>
        <v>   </v>
      </c>
      <c r="H21" s="342" t="str">
        <f>IF(2*(1-(NORMDIST(ABS(E21),0,F21,TRUE)))&lt;0.0005,"&lt;0,001","")</f>
        <v>&lt;0,001</v>
      </c>
      <c r="I21" s="101"/>
    </row>
    <row r="22" spans="1:9" ht="12.75">
      <c r="A22" s="101" t="s">
        <v>135</v>
      </c>
      <c r="B22" s="38"/>
      <c r="C22" s="38"/>
      <c r="D22" s="38"/>
      <c r="F22" s="75">
        <f>SQRT((4*E4+10)/(9*E4*(E4-1)))</f>
        <v>0.009749775675053694</v>
      </c>
      <c r="G22" s="95"/>
      <c r="H22" s="115"/>
      <c r="I22" s="101"/>
    </row>
    <row r="23" spans="1:9" ht="12.75">
      <c r="A23" s="101"/>
      <c r="B23" s="38"/>
      <c r="C23" s="38"/>
      <c r="D23" s="38"/>
      <c r="E23" s="38"/>
      <c r="F23" s="95"/>
      <c r="G23" s="95"/>
      <c r="H23" s="115"/>
      <c r="I23" s="101"/>
    </row>
    <row r="24" spans="1:9" ht="12.75">
      <c r="A24" s="101" t="s">
        <v>128</v>
      </c>
      <c r="B24" s="38"/>
      <c r="C24" s="38"/>
      <c r="D24" s="38"/>
      <c r="E24" s="75">
        <f>E12/(E10+E11)</f>
        <v>-0.08806711087004586</v>
      </c>
      <c r="F24" s="75">
        <f>Varcalc!I185</f>
        <v>0.01773555829080421</v>
      </c>
      <c r="G24" s="173" t="str">
        <f>IF(2*(1-(NORMDIST(ABS(E24),0,F24,TRUE)))&lt;0.0005,"   ",2*(1-(NORMDIST(ABS(E24),0,F24,TRUE))))</f>
        <v>   </v>
      </c>
      <c r="H24" s="343" t="str">
        <f>IF(2*(1-(NORMDIST(ABS(E24),0,F24,TRUE)))&lt;0.0005,"&lt;0,001","")</f>
        <v>&lt;0,001</v>
      </c>
      <c r="I24" s="101"/>
    </row>
    <row r="25" spans="1:9" ht="12.75">
      <c r="A25" s="101"/>
      <c r="B25" s="38"/>
      <c r="C25" s="38"/>
      <c r="D25" s="38"/>
      <c r="E25" s="38"/>
      <c r="F25" s="326"/>
      <c r="G25" s="95"/>
      <c r="H25" s="115"/>
      <c r="I25" s="101"/>
    </row>
    <row r="26" spans="1:9" ht="12.75">
      <c r="A26" s="101" t="s">
        <v>103</v>
      </c>
      <c r="B26" s="38"/>
      <c r="C26" s="38"/>
      <c r="D26" s="38"/>
      <c r="E26" s="75">
        <f>E12/(E10+E11+E14)</f>
        <v>-0.06845338590140738</v>
      </c>
      <c r="F26" s="75">
        <f>Varcalc!I202</f>
        <v>0.013797282952129527</v>
      </c>
      <c r="G26" s="173" t="str">
        <f>IF(2*(1-(NORMDIST(ABS(E26),0,F26,TRUE)))&lt;0.0005," ",2*(1-(NORMDIST(ABS(E26),0,F26,TRUE))))</f>
        <v> </v>
      </c>
      <c r="H26" s="343" t="str">
        <f>IF(2*(1-(NORMDIST(ABS(E26),0,F26,TRUE)))&lt;0.0005,"&lt;0,001","")</f>
        <v>&lt;0,001</v>
      </c>
      <c r="I26" s="101"/>
    </row>
    <row r="27" spans="1:9" ht="12.75">
      <c r="A27" s="101" t="s">
        <v>105</v>
      </c>
      <c r="B27" s="38"/>
      <c r="C27" s="38"/>
      <c r="D27" s="38"/>
      <c r="E27" s="75">
        <f>E12/(E10+E11+E13)</f>
        <v>-0.058708941248408725</v>
      </c>
      <c r="F27" s="75">
        <f>Varcalc!I219</f>
        <v>0.011838243830513063</v>
      </c>
      <c r="G27" s="173" t="str">
        <f>IF(2*(1-(NORMDIST(ABS(E27),0,F27,TRUE)))&lt;0.0005,"   ",2*(1-(NORMDIST(ABS(E27),0,F27,TRUE))))</f>
        <v>   </v>
      </c>
      <c r="H27" s="342" t="str">
        <f>IF(2*(1-(NORMDIST(ABS(E27),0,F27,TRUE)))&lt;0.0005,"&lt;0,001","")</f>
        <v>&lt;0,001</v>
      </c>
      <c r="I27" s="101"/>
    </row>
    <row r="28" spans="1:9" ht="12.75">
      <c r="A28" s="101" t="s">
        <v>104</v>
      </c>
      <c r="B28" s="38"/>
      <c r="C28" s="38"/>
      <c r="D28" s="38"/>
      <c r="E28" s="75">
        <f>E12/(E10+E11+0.5*E13+0.5*E14)</f>
        <v>-0.06320780534954512</v>
      </c>
      <c r="F28" s="174"/>
      <c r="G28" s="175"/>
      <c r="H28" s="176"/>
      <c r="I28" s="101"/>
    </row>
    <row r="29" spans="1:9" ht="13.5" thickBot="1">
      <c r="A29" s="109"/>
      <c r="B29" s="110"/>
      <c r="C29" s="110"/>
      <c r="D29" s="110"/>
      <c r="E29" s="110"/>
      <c r="F29" s="110"/>
      <c r="G29" s="111"/>
      <c r="H29" s="116"/>
      <c r="I29" s="101"/>
    </row>
    <row r="30" spans="1:9" ht="14.25" thickBot="1" thickTop="1">
      <c r="A30" s="99"/>
      <c r="B30" s="93"/>
      <c r="C30" s="93"/>
      <c r="D30" s="93"/>
      <c r="E30" s="93"/>
      <c r="F30" s="93"/>
      <c r="G30" s="94"/>
      <c r="H30" s="114"/>
      <c r="I30" s="101"/>
    </row>
    <row r="31" spans="1:9" ht="13.5" thickBot="1">
      <c r="A31" s="100" t="s">
        <v>49</v>
      </c>
      <c r="B31" s="6"/>
      <c r="C31" s="6"/>
      <c r="D31" s="6"/>
      <c r="E31" s="92"/>
      <c r="F31" s="38"/>
      <c r="G31" s="95"/>
      <c r="H31" s="115"/>
      <c r="I31" s="101"/>
    </row>
    <row r="32" spans="1:9" ht="12.75">
      <c r="A32" s="101"/>
      <c r="B32" s="38"/>
      <c r="C32" s="38"/>
      <c r="D32" s="38"/>
      <c r="E32" s="38"/>
      <c r="F32" s="38"/>
      <c r="G32" s="95"/>
      <c r="H32" s="115"/>
      <c r="I32" s="101"/>
    </row>
    <row r="33" spans="1:9" ht="12.75">
      <c r="A33" s="102" t="s">
        <v>72</v>
      </c>
      <c r="B33" s="38"/>
      <c r="C33" s="38"/>
      <c r="D33" s="38"/>
      <c r="E33" s="38"/>
      <c r="F33" s="38"/>
      <c r="G33" s="95"/>
      <c r="H33" s="115"/>
      <c r="I33" s="101"/>
    </row>
    <row r="34" spans="1:9" ht="12.75">
      <c r="A34" s="103" t="s">
        <v>96</v>
      </c>
      <c r="B34" s="38"/>
      <c r="C34" s="38"/>
      <c r="D34" s="38"/>
      <c r="E34" s="38"/>
      <c r="F34" s="38"/>
      <c r="G34" s="95"/>
      <c r="H34" s="115"/>
      <c r="I34" s="101"/>
    </row>
    <row r="35" spans="1:9" ht="12.75">
      <c r="A35" s="102" t="s">
        <v>73</v>
      </c>
      <c r="B35" s="38"/>
      <c r="C35" s="38"/>
      <c r="D35" s="38"/>
      <c r="E35" s="38"/>
      <c r="F35" s="38"/>
      <c r="G35" s="95"/>
      <c r="H35" s="115"/>
      <c r="I35" s="101"/>
    </row>
    <row r="36" spans="1:9" ht="12.75">
      <c r="A36" s="102" t="s">
        <v>174</v>
      </c>
      <c r="B36" s="38"/>
      <c r="C36" s="38"/>
      <c r="D36" s="38"/>
      <c r="E36" s="38"/>
      <c r="F36" s="38"/>
      <c r="G36" s="95"/>
      <c r="H36" s="115"/>
      <c r="I36" s="101"/>
    </row>
    <row r="37" spans="1:9" ht="12.75">
      <c r="A37" s="102" t="s">
        <v>176</v>
      </c>
      <c r="B37" s="38"/>
      <c r="C37" s="38"/>
      <c r="D37" s="38"/>
      <c r="E37" s="38"/>
      <c r="F37" s="38"/>
      <c r="G37" s="95"/>
      <c r="H37" s="115"/>
      <c r="I37" s="101"/>
    </row>
    <row r="38" spans="1:9" ht="12.75">
      <c r="A38" s="207" t="s">
        <v>175</v>
      </c>
      <c r="B38" s="158"/>
      <c r="C38" s="158"/>
      <c r="D38" s="158"/>
      <c r="E38" s="158"/>
      <c r="F38" s="158"/>
      <c r="G38" s="208"/>
      <c r="H38" s="209"/>
      <c r="I38" s="101"/>
    </row>
    <row r="39" spans="1:9" ht="12.75">
      <c r="A39" s="207" t="s">
        <v>173</v>
      </c>
      <c r="B39" s="158"/>
      <c r="C39" s="158"/>
      <c r="D39" s="158"/>
      <c r="E39" s="158"/>
      <c r="F39" s="158"/>
      <c r="G39" s="208"/>
      <c r="H39" s="209"/>
      <c r="I39" s="101"/>
    </row>
    <row r="40" spans="1:9" ht="12.75">
      <c r="A40" s="104" t="s">
        <v>62</v>
      </c>
      <c r="B40" s="38"/>
      <c r="C40" s="38"/>
      <c r="D40" s="38"/>
      <c r="E40" s="38"/>
      <c r="F40" s="38"/>
      <c r="G40" s="95"/>
      <c r="H40" s="115"/>
      <c r="I40" s="101"/>
    </row>
    <row r="41" spans="1:9" ht="12.75">
      <c r="A41" s="101" t="s">
        <v>50</v>
      </c>
      <c r="B41" s="38"/>
      <c r="C41" s="38"/>
      <c r="D41" s="38"/>
      <c r="E41" s="38"/>
      <c r="F41" s="38"/>
      <c r="G41" s="95"/>
      <c r="H41" s="115"/>
      <c r="I41" s="101"/>
    </row>
    <row r="42" spans="1:9" ht="12.75">
      <c r="A42" s="101"/>
      <c r="B42" s="38" t="s">
        <v>58</v>
      </c>
      <c r="C42" s="38"/>
      <c r="D42" s="38"/>
      <c r="E42" s="169">
        <f>E4</f>
        <v>4679</v>
      </c>
      <c r="F42" s="105"/>
      <c r="G42" s="95"/>
      <c r="H42" s="115"/>
      <c r="I42" s="101"/>
    </row>
    <row r="43" spans="1:9" ht="12.75">
      <c r="A43" s="101"/>
      <c r="B43" s="38" t="s">
        <v>71</v>
      </c>
      <c r="C43" s="38"/>
      <c r="D43" s="38"/>
      <c r="E43" s="169">
        <v>3</v>
      </c>
      <c r="F43" s="105"/>
      <c r="G43" s="95"/>
      <c r="H43" s="115"/>
      <c r="I43" s="101"/>
    </row>
    <row r="44" spans="1:9" ht="12.75">
      <c r="A44" s="101"/>
      <c r="B44" s="38" t="s">
        <v>51</v>
      </c>
      <c r="C44" s="38"/>
      <c r="D44" s="38"/>
      <c r="E44" s="169">
        <v>5</v>
      </c>
      <c r="F44" s="105"/>
      <c r="G44" s="95"/>
      <c r="H44" s="115"/>
      <c r="I44" s="101"/>
    </row>
    <row r="45" spans="1:9" ht="12.75">
      <c r="A45" s="101"/>
      <c r="B45" s="38" t="s">
        <v>52</v>
      </c>
      <c r="C45" s="38"/>
      <c r="D45" s="38"/>
      <c r="E45" s="169">
        <v>1</v>
      </c>
      <c r="F45" s="105"/>
      <c r="G45" s="95"/>
      <c r="H45" s="115"/>
      <c r="I45" s="101"/>
    </row>
    <row r="46" spans="1:9" ht="12.75">
      <c r="A46" s="101" t="s">
        <v>59</v>
      </c>
      <c r="B46" s="38"/>
      <c r="C46" s="38"/>
      <c r="D46" s="38"/>
      <c r="E46" s="105"/>
      <c r="F46" s="105"/>
      <c r="G46" s="95"/>
      <c r="H46" s="115"/>
      <c r="I46" s="101"/>
    </row>
    <row r="47" spans="1:9" ht="12.75">
      <c r="A47" s="101"/>
      <c r="B47" s="38" t="s">
        <v>53</v>
      </c>
      <c r="C47" s="38"/>
      <c r="D47" s="96" t="s">
        <v>56</v>
      </c>
      <c r="E47" s="97"/>
      <c r="F47" s="38"/>
      <c r="G47" s="95"/>
      <c r="H47" s="115"/>
      <c r="I47" s="101"/>
    </row>
    <row r="48" spans="1:9" ht="12.75">
      <c r="A48" s="101"/>
      <c r="B48" s="38" t="s">
        <v>68</v>
      </c>
      <c r="C48" s="38"/>
      <c r="D48" s="38"/>
      <c r="E48" s="170">
        <v>-0.0881</v>
      </c>
      <c r="F48" s="105"/>
      <c r="G48" s="95"/>
      <c r="H48" s="115"/>
      <c r="I48" s="101"/>
    </row>
    <row r="49" spans="1:9" ht="12.75">
      <c r="A49" s="101"/>
      <c r="B49" s="327" t="s">
        <v>190</v>
      </c>
      <c r="C49" s="38"/>
      <c r="D49" s="38"/>
      <c r="E49" s="170">
        <v>0.0177</v>
      </c>
      <c r="F49" s="105"/>
      <c r="G49" s="95"/>
      <c r="H49" s="115"/>
      <c r="I49" s="101"/>
    </row>
    <row r="50" spans="1:9" ht="12.75">
      <c r="A50" s="106"/>
      <c r="B50" s="38" t="s">
        <v>70</v>
      </c>
      <c r="C50" s="38"/>
      <c r="D50" s="38"/>
      <c r="E50" s="75">
        <f>2*(1-(NORMDIST(ABS(E48),0,E49,TRUE)))</f>
        <v>6.444368072511253E-07</v>
      </c>
      <c r="F50" s="105"/>
      <c r="G50" s="95"/>
      <c r="H50" s="115"/>
      <c r="I50" s="101"/>
    </row>
    <row r="51" spans="1:9" ht="13.5" thickBot="1">
      <c r="A51" s="107" t="s">
        <v>54</v>
      </c>
      <c r="B51" s="38"/>
      <c r="C51" s="38"/>
      <c r="D51" s="38"/>
      <c r="E51" s="98"/>
      <c r="F51" s="38"/>
      <c r="G51" s="95"/>
      <c r="H51" s="115"/>
      <c r="I51" s="101"/>
    </row>
    <row r="52" spans="1:9" ht="13.5" thickBot="1">
      <c r="A52" s="106"/>
      <c r="B52" s="108" t="s">
        <v>172</v>
      </c>
      <c r="C52" s="38"/>
      <c r="D52" s="38"/>
      <c r="E52" s="135">
        <f>IF(E53=0,"  ",E56*(SQRT((4*E42+10)/(9*E42*(E42-1))))*(NORMINV(1-E50/2,0,1)))</f>
        <v>-0.0485285444617147</v>
      </c>
      <c r="F52" s="38"/>
      <c r="G52" s="95"/>
      <c r="H52" s="115"/>
      <c r="I52" s="101"/>
    </row>
    <row r="53" spans="1:9" ht="12.75">
      <c r="A53" s="104"/>
      <c r="B53" s="38" t="s">
        <v>57</v>
      </c>
      <c r="C53" s="38"/>
      <c r="D53" s="38"/>
      <c r="E53" s="84">
        <f>E50</f>
        <v>6.444368072511253E-07</v>
      </c>
      <c r="F53" s="38"/>
      <c r="G53" s="95"/>
      <c r="H53" s="115"/>
      <c r="I53" s="101"/>
    </row>
    <row r="54" spans="1:9" ht="12.75">
      <c r="A54" s="101"/>
      <c r="B54" s="38" t="s">
        <v>61</v>
      </c>
      <c r="C54" s="38"/>
      <c r="D54" s="38"/>
      <c r="E54" s="77">
        <f>E50</f>
        <v>6.444368072511253E-07</v>
      </c>
      <c r="F54" s="38"/>
      <c r="G54" s="95"/>
      <c r="H54" s="115"/>
      <c r="I54" s="101"/>
    </row>
    <row r="55" spans="1:9" ht="12.75">
      <c r="A55" s="104" t="s">
        <v>60</v>
      </c>
      <c r="B55" s="38"/>
      <c r="C55" s="38"/>
      <c r="D55" s="38"/>
      <c r="E55" s="38"/>
      <c r="F55" s="38"/>
      <c r="G55" s="95"/>
      <c r="H55" s="115"/>
      <c r="I55" s="101"/>
    </row>
    <row r="56" spans="1:9" ht="12.75">
      <c r="A56" s="101"/>
      <c r="B56" s="38" t="s">
        <v>69</v>
      </c>
      <c r="C56" s="38"/>
      <c r="D56" s="38"/>
      <c r="E56" s="139">
        <f>IF(E48&lt;0,-1,1)</f>
        <v>-1</v>
      </c>
      <c r="F56" s="38"/>
      <c r="G56" s="95"/>
      <c r="H56" s="115"/>
      <c r="I56" s="101"/>
    </row>
    <row r="57" spans="1:9" ht="12.75">
      <c r="A57" s="101"/>
      <c r="B57" s="38" t="s">
        <v>55</v>
      </c>
      <c r="C57" s="38"/>
      <c r="D57" s="38"/>
      <c r="E57" s="140">
        <f>E42*(E42-1)/2</f>
        <v>10944181</v>
      </c>
      <c r="F57" s="38"/>
      <c r="G57" s="95"/>
      <c r="H57" s="115"/>
      <c r="I57" s="101"/>
    </row>
    <row r="58" spans="1:9" ht="13.5" thickBot="1">
      <c r="A58" s="109"/>
      <c r="B58" s="110"/>
      <c r="C58" s="110"/>
      <c r="D58" s="110"/>
      <c r="E58" s="110"/>
      <c r="F58" s="110"/>
      <c r="G58" s="111"/>
      <c r="H58" s="116"/>
      <c r="I58" s="101"/>
    </row>
    <row r="59" spans="1:9" ht="13.5" thickTop="1">
      <c r="A59" s="93"/>
      <c r="B59" s="93"/>
      <c r="C59" s="93"/>
      <c r="D59" s="93"/>
      <c r="E59" s="93"/>
      <c r="F59" s="93"/>
      <c r="G59" s="94"/>
      <c r="H59" s="94"/>
      <c r="I59" s="38"/>
    </row>
  </sheetData>
  <sheetProtection password="C550" sheet="1" objects="1" scenarios="1"/>
  <mergeCells count="1">
    <mergeCell ref="G19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5"/>
  <sheetViews>
    <sheetView showGridLines="0" zoomScalePageLayoutView="0" workbookViewId="0" topLeftCell="A1">
      <selection activeCell="S23" sqref="S23"/>
    </sheetView>
  </sheetViews>
  <sheetFormatPr defaultColWidth="9.140625" defaultRowHeight="12.75"/>
  <cols>
    <col min="1" max="1" width="10.421875" style="0" customWidth="1"/>
    <col min="2" max="15" width="5.7109375" style="0" customWidth="1"/>
    <col min="16" max="17" width="3.7109375" style="0" customWidth="1"/>
    <col min="18" max="18" width="3.8515625" style="0" customWidth="1"/>
    <col min="19" max="20" width="5.7109375" style="0" customWidth="1"/>
  </cols>
  <sheetData>
    <row r="1" ht="13.5" thickBot="1">
      <c r="A1" s="123" t="s">
        <v>87</v>
      </c>
    </row>
    <row r="2" spans="2:15" ht="13.5" thickBot="1">
      <c r="B2" t="s">
        <v>1</v>
      </c>
      <c r="F2" s="81">
        <f>'Excerpt WDH'!E13</f>
        <v>11</v>
      </c>
      <c r="I2" t="s">
        <v>5</v>
      </c>
      <c r="N2" s="47">
        <f>O19</f>
        <v>4679</v>
      </c>
      <c r="O2" s="24"/>
    </row>
    <row r="3" spans="2:6" ht="13.5" thickBot="1">
      <c r="B3" t="s">
        <v>2</v>
      </c>
      <c r="F3" s="82">
        <f>'Excerpt WDH'!E18</f>
        <v>3</v>
      </c>
    </row>
    <row r="4" spans="1:18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331">
        <f>C7+D7</f>
        <v>0</v>
      </c>
      <c r="L4" s="29"/>
      <c r="M4" s="29"/>
      <c r="N4" s="29"/>
      <c r="O4" s="29"/>
      <c r="P4" s="29"/>
      <c r="Q4" s="29"/>
      <c r="R4" s="29"/>
    </row>
    <row r="5" spans="1:18" ht="13.5" thickBot="1">
      <c r="A5" s="29"/>
      <c r="B5" s="74" t="s">
        <v>13</v>
      </c>
      <c r="C5" s="29"/>
      <c r="D5" s="29"/>
      <c r="E5" s="29"/>
      <c r="F5" s="29"/>
      <c r="G5" s="58" t="s">
        <v>24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3.5" thickBot="1">
      <c r="A6" s="29"/>
      <c r="B6" s="30"/>
      <c r="C6" s="31">
        <v>1</v>
      </c>
      <c r="D6" s="32">
        <f aca="true" t="shared" si="0" ref="D6:N6">C6+1</f>
        <v>2</v>
      </c>
      <c r="E6" s="32">
        <f t="shared" si="0"/>
        <v>3</v>
      </c>
      <c r="F6" s="32">
        <f t="shared" si="0"/>
        <v>4</v>
      </c>
      <c r="G6" s="32">
        <f t="shared" si="0"/>
        <v>5</v>
      </c>
      <c r="H6" s="32">
        <f t="shared" si="0"/>
        <v>6</v>
      </c>
      <c r="I6" s="32">
        <f t="shared" si="0"/>
        <v>7</v>
      </c>
      <c r="J6" s="32">
        <f t="shared" si="0"/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3">
        <f t="shared" si="0"/>
        <v>12</v>
      </c>
      <c r="O6" s="34" t="s">
        <v>0</v>
      </c>
      <c r="P6" s="332"/>
      <c r="Q6" s="29"/>
      <c r="R6" s="29"/>
    </row>
    <row r="7" spans="1:18" ht="12.75">
      <c r="A7" s="29"/>
      <c r="B7" s="263">
        <f>'Excerpt WDH'!$B$39</f>
      </c>
      <c r="C7" s="64">
        <f>IF(OR($B7&gt;$F$2,C$6&gt;$F$3),0,Frequencies!C10)</f>
        <v>0</v>
      </c>
      <c r="D7" s="65">
        <f>IF(OR($B7&gt;$F$2,D$6&gt;$F$3),0,Frequencies!D10)</f>
        <v>0</v>
      </c>
      <c r="E7" s="65">
        <f>IF(OR($B7&gt;$F$2,E$6&gt;$F$3),0,Frequencies!E10)</f>
        <v>0</v>
      </c>
      <c r="F7" s="65">
        <f>IF(OR($B7&gt;$F$2,F$6&gt;$F$3),0,Frequencies!F10)</f>
        <v>0</v>
      </c>
      <c r="G7" s="65">
        <f>IF(OR($B7&gt;$F$2,G$6&gt;$F$3),0,Frequencies!G10)</f>
        <v>0</v>
      </c>
      <c r="H7" s="65">
        <f>IF(OR($B7&gt;$F$2,H$6&gt;$F$3),0,Frequencies!H10)</f>
        <v>0</v>
      </c>
      <c r="I7" s="65">
        <f>IF(OR($B7&gt;$F$2,I$6&gt;$F$3),0,Frequencies!I10)</f>
        <v>0</v>
      </c>
      <c r="J7" s="65">
        <f>IF(OR($B7&gt;$F$2,J$6&gt;$F$3),0,Frequencies!J10)</f>
        <v>0</v>
      </c>
      <c r="K7" s="65">
        <f>IF(OR($B7&gt;$F$2,K$6&gt;$F$3),0,Frequencies!K10)</f>
        <v>0</v>
      </c>
      <c r="L7" s="65">
        <f>IF(OR($B7&gt;$F$2,L$6&gt;$F$3),0,Frequencies!L10)</f>
        <v>0</v>
      </c>
      <c r="M7" s="65">
        <f>IF(OR($B7&gt;$F$2,M$6&gt;$F$3),0,Frequencies!M10)</f>
        <v>0</v>
      </c>
      <c r="N7" s="66">
        <f>IF(OR($B7&gt;$F$2,N$6&gt;$F$3),0,Frequencies!N10)</f>
        <v>0</v>
      </c>
      <c r="O7" s="276">
        <f aca="true" t="shared" si="1" ref="O7:O18">SUM(C7:N7)</f>
        <v>0</v>
      </c>
      <c r="P7" s="332">
        <f>SUM(B7)</f>
        <v>0</v>
      </c>
      <c r="Q7" s="29"/>
      <c r="R7" s="29"/>
    </row>
    <row r="8" spans="1:18" ht="12.75">
      <c r="A8" s="29"/>
      <c r="B8" s="264">
        <f>'Excerpt WDH'!B40</f>
        <v>10</v>
      </c>
      <c r="C8" s="67">
        <f>IF(OR($B8&gt;$F$2,C$6&gt;$F$3),0,Frequencies!C11)</f>
        <v>263</v>
      </c>
      <c r="D8" s="68">
        <f>IF(OR($B8&gt;$F$2,D$6&gt;$F$3),0,Frequencies!D11)</f>
        <v>211</v>
      </c>
      <c r="E8" s="68">
        <f>IF(OR($B8&gt;$F$2,E$6&gt;$F$3),0,Frequencies!E11)</f>
        <v>159</v>
      </c>
      <c r="F8" s="68">
        <f>IF(OR($B8&gt;$F$2,F$6&gt;$F$3),0,Frequencies!F11)</f>
        <v>0</v>
      </c>
      <c r="G8" s="68">
        <f>IF(OR($B8&gt;$F$2,G$6&gt;$F$3),0,Frequencies!G11)</f>
        <v>0</v>
      </c>
      <c r="H8" s="68">
        <f>IF(OR($B8&gt;$F$2,H$6&gt;$F$3),0,Frequencies!H11)</f>
        <v>0</v>
      </c>
      <c r="I8" s="68">
        <f>IF(OR($B8&gt;$F$2,I$6&gt;$F$3),0,Frequencies!I11)</f>
        <v>0</v>
      </c>
      <c r="J8" s="68">
        <f>IF(OR($B8&gt;$F$2,J$6&gt;$F$3),0,Frequencies!J11)</f>
        <v>0</v>
      </c>
      <c r="K8" s="68">
        <f>IF(OR($B8&gt;$F$2,K$6&gt;$F$3),0,Frequencies!K11)</f>
        <v>0</v>
      </c>
      <c r="L8" s="68">
        <f>IF(OR($B8&gt;$F$2,L$6&gt;$F$3),0,Frequencies!L11)</f>
        <v>0</v>
      </c>
      <c r="M8" s="68">
        <f>IF(OR($B8&gt;$F$2,M$6&gt;$F$3),0,Frequencies!M11)</f>
        <v>0</v>
      </c>
      <c r="N8" s="69">
        <f>IF(OR($B8&gt;$F$2,N$6&gt;$F$3),0,Frequencies!N11)</f>
        <v>0</v>
      </c>
      <c r="O8" s="277">
        <f t="shared" si="1"/>
        <v>633</v>
      </c>
      <c r="P8" s="332">
        <f aca="true" t="shared" si="2" ref="P8:P18">SUM(B8)</f>
        <v>10</v>
      </c>
      <c r="Q8" s="29"/>
      <c r="R8" s="29"/>
    </row>
    <row r="9" spans="1:18" ht="12.75">
      <c r="A9" s="29"/>
      <c r="B9" s="264">
        <f>'Excerpt WDH'!B41</f>
        <v>9</v>
      </c>
      <c r="C9" s="67">
        <f>IF(OR($B9&gt;$F$2,C$6&gt;$F$3),0,Frequencies!C12)</f>
        <v>356</v>
      </c>
      <c r="D9" s="68">
        <f>IF(OR($B9&gt;$F$2,D$6&gt;$F$3),0,Frequencies!D12)</f>
        <v>455</v>
      </c>
      <c r="E9" s="68">
        <f>IF(OR($B9&gt;$F$2,E$6&gt;$F$3),0,Frequencies!E12)</f>
        <v>355</v>
      </c>
      <c r="F9" s="68">
        <f>IF(OR($B9&gt;$F$2,F$6&gt;$F$3),0,Frequencies!F12)</f>
        <v>0</v>
      </c>
      <c r="G9" s="68">
        <f>IF(OR($B9&gt;$F$2,G$6&gt;$F$3),0,Frequencies!G12)</f>
        <v>0</v>
      </c>
      <c r="H9" s="68">
        <f>IF(OR($B9&gt;$F$2,H$6&gt;$F$3),0,Frequencies!H12)</f>
        <v>0</v>
      </c>
      <c r="I9" s="68">
        <f>IF(OR($B9&gt;$F$2,I$6&gt;$F$3),0,Frequencies!I12)</f>
        <v>0</v>
      </c>
      <c r="J9" s="68">
        <f>IF(OR($B9&gt;$F$2,J$6&gt;$F$3),0,Frequencies!J12)</f>
        <v>0</v>
      </c>
      <c r="K9" s="68">
        <f>IF(OR($B9&gt;$F$2,K$6&gt;$F$3),0,Frequencies!K12)</f>
        <v>0</v>
      </c>
      <c r="L9" s="68">
        <f>IF(OR($B9&gt;$F$2,L$6&gt;$F$3),0,Frequencies!L12)</f>
        <v>0</v>
      </c>
      <c r="M9" s="68">
        <f>IF(OR($B9&gt;$F$2,M$6&gt;$F$3),0,Frequencies!M12)</f>
        <v>0</v>
      </c>
      <c r="N9" s="69">
        <f>IF(OR($B9&gt;$F$2,N$6&gt;$F$3),0,Frequencies!N12)</f>
        <v>0</v>
      </c>
      <c r="O9" s="277">
        <f t="shared" si="1"/>
        <v>1166</v>
      </c>
      <c r="P9" s="332">
        <f t="shared" si="2"/>
        <v>9</v>
      </c>
      <c r="Q9" s="29"/>
      <c r="R9" s="29"/>
    </row>
    <row r="10" spans="1:18" ht="12.75">
      <c r="A10" s="29"/>
      <c r="B10" s="264">
        <f>'Excerpt WDH'!B42</f>
        <v>8</v>
      </c>
      <c r="C10" s="67">
        <f>IF(OR($B10&gt;$F$2,C$6&gt;$F$3),0,Frequencies!C13)</f>
        <v>409</v>
      </c>
      <c r="D10" s="68">
        <f>IF(OR($B10&gt;$F$2,D$6&gt;$F$3),0,Frequencies!D13)</f>
        <v>588</v>
      </c>
      <c r="E10" s="68">
        <f>IF(OR($B10&gt;$F$2,E$6&gt;$F$3),0,Frequencies!E13)</f>
        <v>535</v>
      </c>
      <c r="F10" s="68">
        <f>IF(OR($B10&gt;$F$2,F$6&gt;$F$3),0,Frequencies!F13)</f>
        <v>0</v>
      </c>
      <c r="G10" s="68">
        <f>IF(OR($B10&gt;$F$2,G$6&gt;$F$3),0,Frequencies!G13)</f>
        <v>0</v>
      </c>
      <c r="H10" s="68">
        <f>IF(OR($B10&gt;$F$2,H$6&gt;$F$3),0,Frequencies!H13)</f>
        <v>0</v>
      </c>
      <c r="I10" s="68">
        <f>IF(OR($B10&gt;$F$2,I$6&gt;$F$3),0,Frequencies!I13)</f>
        <v>0</v>
      </c>
      <c r="J10" s="68">
        <f>IF(OR($B10&gt;$F$2,J$6&gt;$F$3),0,Frequencies!J13)</f>
        <v>0</v>
      </c>
      <c r="K10" s="68">
        <f>IF(OR($B10&gt;$F$2,K$6&gt;$F$3),0,Frequencies!K13)</f>
        <v>0</v>
      </c>
      <c r="L10" s="68">
        <f>IF(OR($B10&gt;$F$2,L$6&gt;$F$3),0,Frequencies!L13)</f>
        <v>0</v>
      </c>
      <c r="M10" s="68">
        <f>IF(OR($B10&gt;$F$2,M$6&gt;$F$3),0,Frequencies!M13)</f>
        <v>0</v>
      </c>
      <c r="N10" s="69">
        <f>IF(OR($B10&gt;$F$2,N$6&gt;$F$3),0,Frequencies!N13)</f>
        <v>0</v>
      </c>
      <c r="O10" s="277">
        <f t="shared" si="1"/>
        <v>1532</v>
      </c>
      <c r="P10" s="332">
        <f t="shared" si="2"/>
        <v>8</v>
      </c>
      <c r="Q10" s="29"/>
      <c r="R10" s="29"/>
    </row>
    <row r="11" spans="1:18" ht="12.75">
      <c r="A11" s="29"/>
      <c r="B11" s="264">
        <f>'Excerpt WDH'!B43</f>
        <v>7</v>
      </c>
      <c r="C11" s="67">
        <f>IF(OR($B11&gt;$F$2,C$6&gt;$F$3),0,Frequencies!C14)</f>
        <v>220</v>
      </c>
      <c r="D11" s="68">
        <f>IF(OR($B11&gt;$F$2,D$6&gt;$F$3),0,Frequencies!D14)</f>
        <v>309</v>
      </c>
      <c r="E11" s="68">
        <f>IF(OR($B11&gt;$F$2,E$6&gt;$F$3),0,Frequencies!E14)</f>
        <v>318</v>
      </c>
      <c r="F11" s="68">
        <f>IF(OR($B11&gt;$F$2,F$6&gt;$F$3),0,Frequencies!F14)</f>
        <v>0</v>
      </c>
      <c r="G11" s="68">
        <f>IF(OR($B11&gt;$F$2,G$6&gt;$F$3),0,Frequencies!G14)</f>
        <v>0</v>
      </c>
      <c r="H11" s="68">
        <f>IF(OR($B11&gt;$F$2,H$6&gt;$F$3),0,Frequencies!H14)</f>
        <v>0</v>
      </c>
      <c r="I11" s="68">
        <f>IF(OR($B11&gt;$F$2,I$6&gt;$F$3),0,Frequencies!I14)</f>
        <v>0</v>
      </c>
      <c r="J11" s="68">
        <f>IF(OR($B11&gt;$F$2,J$6&gt;$F$3),0,Frequencies!J14)</f>
        <v>0</v>
      </c>
      <c r="K11" s="68">
        <f>IF(OR($B11&gt;$F$2,K$6&gt;$F$3),0,Frequencies!K14)</f>
        <v>0</v>
      </c>
      <c r="L11" s="68">
        <f>IF(OR($B11&gt;$F$2,L$6&gt;$F$3),0,Frequencies!L14)</f>
        <v>0</v>
      </c>
      <c r="M11" s="68">
        <f>IF(OR($B11&gt;$F$2,M$6&gt;$F$3),0,Frequencies!M14)</f>
        <v>0</v>
      </c>
      <c r="N11" s="69">
        <f>IF(OR($B11&gt;$F$2,N$6&gt;$F$3),0,Frequencies!N14)</f>
        <v>0</v>
      </c>
      <c r="O11" s="277">
        <f t="shared" si="1"/>
        <v>847</v>
      </c>
      <c r="P11" s="332">
        <f t="shared" si="2"/>
        <v>7</v>
      </c>
      <c r="Q11" s="29"/>
      <c r="R11" s="29"/>
    </row>
    <row r="12" spans="1:18" ht="12.75">
      <c r="A12" s="29"/>
      <c r="B12" s="264">
        <f>'Excerpt WDH'!B44</f>
        <v>6</v>
      </c>
      <c r="C12" s="67">
        <f>IF(OR($B12&gt;$F$2,C$6&gt;$F$3),0,Frequencies!C15)</f>
        <v>73</v>
      </c>
      <c r="D12" s="68">
        <f>IF(OR($B12&gt;$F$2,D$6&gt;$F$3),0,Frequencies!D15)</f>
        <v>65</v>
      </c>
      <c r="E12" s="68">
        <f>IF(OR($B12&gt;$F$2,E$6&gt;$F$3),0,Frequencies!E15)</f>
        <v>105</v>
      </c>
      <c r="F12" s="68">
        <f>IF(OR($B12&gt;$F$2,F$6&gt;$F$3),0,Frequencies!F15)</f>
        <v>0</v>
      </c>
      <c r="G12" s="68">
        <f>IF(OR($B12&gt;$F$2,G$6&gt;$F$3),0,Frequencies!G15)</f>
        <v>0</v>
      </c>
      <c r="H12" s="68">
        <f>IF(OR($B12&gt;$F$2,H$6&gt;$F$3),0,Frequencies!H15)</f>
        <v>0</v>
      </c>
      <c r="I12" s="68">
        <f>IF(OR($B12&gt;$F$2,I$6&gt;$F$3),0,Frequencies!I15)</f>
        <v>0</v>
      </c>
      <c r="J12" s="68">
        <f>IF(OR($B12&gt;$F$2,J$6&gt;$F$3),0,Frequencies!J15)</f>
        <v>0</v>
      </c>
      <c r="K12" s="68">
        <f>IF(OR($B12&gt;$F$2,K$6&gt;$F$3),0,Frequencies!K15)</f>
        <v>0</v>
      </c>
      <c r="L12" s="68">
        <f>IF(OR($B12&gt;$F$2,L$6&gt;$F$3),0,Frequencies!L15)</f>
        <v>0</v>
      </c>
      <c r="M12" s="68">
        <f>IF(OR($B12&gt;$F$2,M$6&gt;$F$3),0,Frequencies!M15)</f>
        <v>0</v>
      </c>
      <c r="N12" s="69">
        <f>IF(OR($B12&gt;$F$2,N$6&gt;$F$3),0,Frequencies!N15)</f>
        <v>0</v>
      </c>
      <c r="O12" s="277">
        <f t="shared" si="1"/>
        <v>243</v>
      </c>
      <c r="P12" s="332">
        <f t="shared" si="2"/>
        <v>6</v>
      </c>
      <c r="Q12" s="29"/>
      <c r="R12" s="29"/>
    </row>
    <row r="13" spans="1:18" ht="12.75">
      <c r="A13" s="29"/>
      <c r="B13" s="264">
        <f>'Excerpt WDH'!B45</f>
        <v>5</v>
      </c>
      <c r="C13" s="67">
        <f>IF(OR($B13&gt;$F$2,C$6&gt;$F$3),0,Frequencies!C16)</f>
        <v>72</v>
      </c>
      <c r="D13" s="68">
        <f>IF(OR($B13&gt;$F$2,D$6&gt;$F$3),0,Frequencies!D16)</f>
        <v>54</v>
      </c>
      <c r="E13" s="68">
        <f>IF(OR($B13&gt;$F$2,E$6&gt;$F$3),0,Frequencies!E16)</f>
        <v>53</v>
      </c>
      <c r="F13" s="68">
        <f>IF(OR($B13&gt;$F$2,F$6&gt;$F$3),0,Frequencies!F16)</f>
        <v>0</v>
      </c>
      <c r="G13" s="68">
        <f>IF(OR($B13&gt;$F$2,G$6&gt;$F$3),0,Frequencies!G16)</f>
        <v>0</v>
      </c>
      <c r="H13" s="68">
        <f>IF(OR($B13&gt;$F$2,H$6&gt;$F$3),0,Frequencies!H16)</f>
        <v>0</v>
      </c>
      <c r="I13" s="68">
        <f>IF(OR($B13&gt;$F$2,I$6&gt;$F$3),0,Frequencies!I16)</f>
        <v>0</v>
      </c>
      <c r="J13" s="68">
        <f>IF(OR($B13&gt;$F$2,J$6&gt;$F$3),0,Frequencies!J16)</f>
        <v>0</v>
      </c>
      <c r="K13" s="68">
        <f>IF(OR($B13&gt;$F$2,K$6&gt;$F$3),0,Frequencies!K16)</f>
        <v>0</v>
      </c>
      <c r="L13" s="68">
        <f>IF(OR($B13&gt;$F$2,L$6&gt;$F$3),0,Frequencies!L16)</f>
        <v>0</v>
      </c>
      <c r="M13" s="68">
        <f>IF(OR($B13&gt;$F$2,M$6&gt;$F$3),0,Frequencies!M16)</f>
        <v>0</v>
      </c>
      <c r="N13" s="69">
        <f>IF(OR($B13&gt;$F$2,N$6&gt;$F$3),0,Frequencies!N16)</f>
        <v>0</v>
      </c>
      <c r="O13" s="277">
        <f t="shared" si="1"/>
        <v>179</v>
      </c>
      <c r="P13" s="332">
        <f t="shared" si="2"/>
        <v>5</v>
      </c>
      <c r="Q13" s="29"/>
      <c r="R13" s="29"/>
    </row>
    <row r="14" spans="1:18" ht="12.75">
      <c r="A14" s="29"/>
      <c r="B14" s="264">
        <f>'Excerpt WDH'!B46</f>
        <v>4</v>
      </c>
      <c r="C14" s="67">
        <f>IF(OR($B14&gt;$F$2,C$6&gt;$F$3),0,Frequencies!C17)</f>
        <v>16</v>
      </c>
      <c r="D14" s="68">
        <f>IF(OR($B14&gt;$F$2,D$6&gt;$F$3),0,Frequencies!D17)</f>
        <v>10</v>
      </c>
      <c r="E14" s="68">
        <f>IF(OR($B14&gt;$F$2,E$6&gt;$F$3),0,Frequencies!E17)</f>
        <v>11</v>
      </c>
      <c r="F14" s="68">
        <f>IF(OR($B14&gt;$F$2,F$6&gt;$F$3),0,Frequencies!F17)</f>
        <v>0</v>
      </c>
      <c r="G14" s="68">
        <f>IF(OR($B14&gt;$F$2,G$6&gt;$F$3),0,Frequencies!G17)</f>
        <v>0</v>
      </c>
      <c r="H14" s="68">
        <f>IF(OR($B14&gt;$F$2,H$6&gt;$F$3),0,Frequencies!H17)</f>
        <v>0</v>
      </c>
      <c r="I14" s="68">
        <f>IF(OR($B14&gt;$F$2,I$6&gt;$F$3),0,Frequencies!I17)</f>
        <v>0</v>
      </c>
      <c r="J14" s="68">
        <f>IF(OR($B14&gt;$F$2,J$6&gt;$F$3),0,Frequencies!J17)</f>
        <v>0</v>
      </c>
      <c r="K14" s="68">
        <f>IF(OR($B14&gt;$F$2,K$6&gt;$F$3),0,Frequencies!K17)</f>
        <v>0</v>
      </c>
      <c r="L14" s="68">
        <f>IF(OR($B14&gt;$F$2,L$6&gt;$F$3),0,Frequencies!L17)</f>
        <v>0</v>
      </c>
      <c r="M14" s="68">
        <f>IF(OR($B14&gt;$F$2,M$6&gt;$F$3),0,Frequencies!M17)</f>
        <v>0</v>
      </c>
      <c r="N14" s="69">
        <f>IF(OR($B14&gt;$F$2,N$6&gt;$F$3),0,Frequencies!N17)</f>
        <v>0</v>
      </c>
      <c r="O14" s="277">
        <f t="shared" si="1"/>
        <v>37</v>
      </c>
      <c r="P14" s="332">
        <f t="shared" si="2"/>
        <v>4</v>
      </c>
      <c r="Q14" s="29"/>
      <c r="R14" s="29"/>
    </row>
    <row r="15" spans="1:18" ht="12.75">
      <c r="A15" s="29"/>
      <c r="B15" s="264">
        <f>'Excerpt WDH'!B47</f>
        <v>3</v>
      </c>
      <c r="C15" s="67">
        <f>IF(OR($B15&gt;$F$2,C$6&gt;$F$3),0,Frequencies!C18)</f>
        <v>10</v>
      </c>
      <c r="D15" s="68">
        <f>IF(OR($B15&gt;$F$2,D$6&gt;$F$3),0,Frequencies!D18)</f>
        <v>3</v>
      </c>
      <c r="E15" s="68">
        <f>IF(OR($B15&gt;$F$2,E$6&gt;$F$3),0,Frequencies!E18)</f>
        <v>3</v>
      </c>
      <c r="F15" s="68">
        <f>IF(OR($B15&gt;$F$2,F$6&gt;$F$3),0,Frequencies!F18)</f>
        <v>0</v>
      </c>
      <c r="G15" s="68">
        <f>IF(OR($B15&gt;$F$2,G$6&gt;$F$3),0,Frequencies!G18)</f>
        <v>0</v>
      </c>
      <c r="H15" s="68">
        <f>IF(OR($B15&gt;$F$2,H$6&gt;$F$3),0,Frequencies!H18)</f>
        <v>0</v>
      </c>
      <c r="I15" s="68">
        <f>IF(OR($B15&gt;$F$2,I$6&gt;$F$3),0,Frequencies!I18)</f>
        <v>0</v>
      </c>
      <c r="J15" s="68">
        <f>IF(OR($B15&gt;$F$2,J$6&gt;$F$3),0,Frequencies!J18)</f>
        <v>0</v>
      </c>
      <c r="K15" s="68">
        <f>IF(OR($B15&gt;$F$2,K$6&gt;$F$3),0,Frequencies!K18)</f>
        <v>0</v>
      </c>
      <c r="L15" s="68">
        <f>IF(OR($B15&gt;$F$2,L$6&gt;$F$3),0,Frequencies!L18)</f>
        <v>0</v>
      </c>
      <c r="M15" s="68">
        <f>IF(OR($B15&gt;$F$2,M$6&gt;$F$3),0,Frequencies!M18)</f>
        <v>0</v>
      </c>
      <c r="N15" s="69">
        <f>IF(OR($B15&gt;$F$2,N$6&gt;$F$3),0,Frequencies!N18)</f>
        <v>0</v>
      </c>
      <c r="O15" s="277">
        <f t="shared" si="1"/>
        <v>16</v>
      </c>
      <c r="P15" s="332">
        <f t="shared" si="2"/>
        <v>3</v>
      </c>
      <c r="Q15" s="29"/>
      <c r="R15" s="29"/>
    </row>
    <row r="16" spans="1:18" ht="12.75">
      <c r="A16" s="29"/>
      <c r="B16" s="264">
        <f>'Excerpt WDH'!B48</f>
        <v>2</v>
      </c>
      <c r="C16" s="67">
        <f>IF(OR($B16&gt;$F$2,C$6&gt;$F$3),0,Frequencies!C19)</f>
        <v>6</v>
      </c>
      <c r="D16" s="68">
        <f>IF(OR($B16&gt;$F$2,D$6&gt;$F$3),0,Frequencies!D19)</f>
        <v>2</v>
      </c>
      <c r="E16" s="68">
        <f>IF(OR($B16&gt;$F$2,E$6&gt;$F$3),0,Frequencies!E19)</f>
        <v>5</v>
      </c>
      <c r="F16" s="68">
        <f>IF(OR($B16&gt;$F$2,F$6&gt;$F$3),0,Frequencies!F19)</f>
        <v>0</v>
      </c>
      <c r="G16" s="68">
        <f>IF(OR($B16&gt;$F$2,G$6&gt;$F$3),0,Frequencies!G19)</f>
        <v>0</v>
      </c>
      <c r="H16" s="68">
        <f>IF(OR($B16&gt;$F$2,H$6&gt;$F$3),0,Frequencies!H19)</f>
        <v>0</v>
      </c>
      <c r="I16" s="68">
        <f>IF(OR($B16&gt;$F$2,I$6&gt;$F$3),0,Frequencies!I19)</f>
        <v>0</v>
      </c>
      <c r="J16" s="68">
        <f>IF(OR($B16&gt;$F$2,J$6&gt;$F$3),0,Frequencies!J19)</f>
        <v>0</v>
      </c>
      <c r="K16" s="68">
        <f>IF(OR($B16&gt;$F$2,K$6&gt;$F$3),0,Frequencies!K19)</f>
        <v>0</v>
      </c>
      <c r="L16" s="68">
        <f>IF(OR($B16&gt;$F$2,L$6&gt;$F$3),0,Frequencies!L19)</f>
        <v>0</v>
      </c>
      <c r="M16" s="68">
        <f>IF(OR($B16&gt;$F$2,M$6&gt;$F$3),0,Frequencies!M19)</f>
        <v>0</v>
      </c>
      <c r="N16" s="69">
        <f>IF(OR($B16&gt;$F$2,N$6&gt;$F$3),0,Frequencies!N19)</f>
        <v>0</v>
      </c>
      <c r="O16" s="277">
        <f t="shared" si="1"/>
        <v>13</v>
      </c>
      <c r="P16" s="332">
        <f t="shared" si="2"/>
        <v>2</v>
      </c>
      <c r="Q16" s="29"/>
      <c r="R16" s="29"/>
    </row>
    <row r="17" spans="1:18" ht="12.75">
      <c r="A17" s="29"/>
      <c r="B17" s="264">
        <f>'Excerpt WDH'!B49</f>
        <v>1</v>
      </c>
      <c r="C17" s="67">
        <f>IF(OR($B17&gt;$F$2,C$6&gt;$F$3),0,Frequencies!C20)</f>
        <v>1</v>
      </c>
      <c r="D17" s="68">
        <f>IF(OR($B17&gt;$F$2,D$6&gt;$F$3),0,Frequencies!D20)</f>
        <v>2</v>
      </c>
      <c r="E17" s="68">
        <f>IF(OR($B17&gt;$F$2,E$6&gt;$F$3),0,Frequencies!E20)</f>
        <v>0</v>
      </c>
      <c r="F17" s="68">
        <f>IF(OR($B17&gt;$F$2,F$6&gt;$F$3),0,Frequencies!F20)</f>
        <v>0</v>
      </c>
      <c r="G17" s="68">
        <f>IF(OR($B17&gt;$F$2,G$6&gt;$F$3),0,Frequencies!G20)</f>
        <v>0</v>
      </c>
      <c r="H17" s="68">
        <f>IF(OR($B17&gt;$F$2,H$6&gt;$F$3),0,Frequencies!H20)</f>
        <v>0</v>
      </c>
      <c r="I17" s="68">
        <f>IF(OR($B17&gt;$F$2,I$6&gt;$F$3),0,Frequencies!I20)</f>
        <v>0</v>
      </c>
      <c r="J17" s="68">
        <f>IF(OR($B17&gt;$F$2,J$6&gt;$F$3),0,Frequencies!J20)</f>
        <v>0</v>
      </c>
      <c r="K17" s="68">
        <f>IF(OR($B17&gt;$F$2,K$6&gt;$F$3),0,Frequencies!K20)</f>
        <v>0</v>
      </c>
      <c r="L17" s="68">
        <f>IF(OR($B17&gt;$F$2,L$6&gt;$F$3),0,Frequencies!L20)</f>
        <v>0</v>
      </c>
      <c r="M17" s="68">
        <f>IF(OR($B17&gt;$F$2,M$6&gt;$F$3),0,Frequencies!M20)</f>
        <v>0</v>
      </c>
      <c r="N17" s="69">
        <f>IF(OR($B17&gt;$F$2,N$6&gt;$F$3),0,Frequencies!N20)</f>
        <v>0</v>
      </c>
      <c r="O17" s="277">
        <f t="shared" si="1"/>
        <v>3</v>
      </c>
      <c r="P17" s="332">
        <f t="shared" si="2"/>
        <v>1</v>
      </c>
      <c r="Q17" s="29"/>
      <c r="R17" s="29"/>
    </row>
    <row r="18" spans="1:18" ht="13.5" thickBot="1">
      <c r="A18" s="29"/>
      <c r="B18" s="265">
        <f>'Excerpt WDH'!B50</f>
        <v>0</v>
      </c>
      <c r="C18" s="70">
        <f>IF(OR($B18&gt;$F$2,C$6&gt;$F$3),0,Frequencies!C21)</f>
        <v>6</v>
      </c>
      <c r="D18" s="71">
        <f>IF(OR($B18&gt;$F$2,D$6&gt;$F$3),0,Frequencies!D21)</f>
        <v>2</v>
      </c>
      <c r="E18" s="71">
        <f>IF(OR($B18&gt;$F$2,E$6&gt;$F$3),0,Frequencies!E21)</f>
        <v>2</v>
      </c>
      <c r="F18" s="71">
        <f>IF(OR($B18&gt;$F$2,F$6&gt;$F$3),0,Frequencies!F21)</f>
        <v>0</v>
      </c>
      <c r="G18" s="71">
        <f>IF(OR($B18&gt;$F$2,G$6&gt;$F$3),0,Frequencies!G21)</f>
        <v>0</v>
      </c>
      <c r="H18" s="71">
        <f>IF(OR($B18&gt;$F$2,H$6&gt;$F$3),0,Frequencies!H21)</f>
        <v>0</v>
      </c>
      <c r="I18" s="71">
        <f>IF(OR($B18&gt;$F$2,I$6&gt;$F$3),0,Frequencies!I21)</f>
        <v>0</v>
      </c>
      <c r="J18" s="71">
        <f>IF(OR($B18&gt;$F$2,J$6&gt;$F$3),0,Frequencies!J21)</f>
        <v>0</v>
      </c>
      <c r="K18" s="71">
        <f>IF(OR($B18&gt;$F$2,K$6&gt;$F$3),0,Frequencies!K21)</f>
        <v>0</v>
      </c>
      <c r="L18" s="71">
        <f>IF(OR($B18&gt;$F$2,L$6&gt;$F$3),0,Frequencies!L21)</f>
        <v>0</v>
      </c>
      <c r="M18" s="71">
        <f>IF(OR($B18&gt;$F$2,M$6&gt;$F$3),0,Frequencies!M21)</f>
        <v>0</v>
      </c>
      <c r="N18" s="72">
        <f>IF(OR($B18&gt;$F$2,N$6&gt;$F$3),0,Frequencies!N21)</f>
        <v>0</v>
      </c>
      <c r="O18" s="278">
        <f t="shared" si="1"/>
        <v>10</v>
      </c>
      <c r="P18" s="332">
        <f t="shared" si="2"/>
        <v>0</v>
      </c>
      <c r="Q18" s="29"/>
      <c r="R18" s="29"/>
    </row>
    <row r="19" spans="1:18" ht="13.5" thickBot="1">
      <c r="A19" s="29"/>
      <c r="B19" s="37" t="s">
        <v>0</v>
      </c>
      <c r="C19" s="279">
        <f aca="true" t="shared" si="3" ref="C19:N19">SUM(C7:C18)</f>
        <v>1432</v>
      </c>
      <c r="D19" s="280">
        <f t="shared" si="3"/>
        <v>1701</v>
      </c>
      <c r="E19" s="280">
        <f t="shared" si="3"/>
        <v>1546</v>
      </c>
      <c r="F19" s="280">
        <f t="shared" si="3"/>
        <v>0</v>
      </c>
      <c r="G19" s="280">
        <f t="shared" si="3"/>
        <v>0</v>
      </c>
      <c r="H19" s="280">
        <f t="shared" si="3"/>
        <v>0</v>
      </c>
      <c r="I19" s="280">
        <f t="shared" si="3"/>
        <v>0</v>
      </c>
      <c r="J19" s="280">
        <f t="shared" si="3"/>
        <v>0</v>
      </c>
      <c r="K19" s="280">
        <f t="shared" si="3"/>
        <v>0</v>
      </c>
      <c r="L19" s="280">
        <f t="shared" si="3"/>
        <v>0</v>
      </c>
      <c r="M19" s="280">
        <f t="shared" si="3"/>
        <v>0</v>
      </c>
      <c r="N19" s="281">
        <f t="shared" si="3"/>
        <v>0</v>
      </c>
      <c r="O19" s="282">
        <f>IF(SUM(C19:N19)=SUM(O7:O18),SUM(C19:N19),"")</f>
        <v>4679</v>
      </c>
      <c r="P19" s="332"/>
      <c r="Q19" s="29"/>
      <c r="R19" s="29"/>
    </row>
    <row r="20" spans="1:18" ht="13.5" thickBot="1">
      <c r="A20" s="29"/>
      <c r="B20" s="78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29"/>
      <c r="Q20" s="29"/>
      <c r="R20" s="29"/>
    </row>
    <row r="21" spans="1:18" ht="13.5" thickBot="1">
      <c r="A21" s="29"/>
      <c r="B21" s="335" t="s">
        <v>192</v>
      </c>
      <c r="C21" s="333">
        <f>IF(C19&gt;0,($P7*C7+$P8*C8+$P9*C9+$P10*C10+$P11*C11+$P12*C12+$P13*C13+$P14*C14+$P15*C15+$P16*C16+$P17*C17+$P18*C18)/C19,"")</f>
        <v>8.066340782122905</v>
      </c>
      <c r="D21" s="334">
        <f>IF(D19&gt;0,($P7*D7+$P8*D8+$P9*D9+$P10*D10+$P11*D11+$P12*D12+$P13*D13+$P14*D14+$P15*D15+$P16*D16+$P17*D17+$P18*D18)/D19,"")</f>
        <v>8.105232216343328</v>
      </c>
      <c r="E21" s="334">
        <f aca="true" t="shared" si="4" ref="E21:O21">IF(E19&gt;0,($P7*E7+$P8*E8+$P9*E9+$P10*E10+$P11*E11+$P12*E12+$P13*E13+$P14*E14+$P15*E15+$P16*E16+$P17*E17+$P18*E18)/E19,"")</f>
        <v>7.923027166882277</v>
      </c>
      <c r="F21" s="334">
        <f t="shared" si="4"/>
      </c>
      <c r="G21" s="334">
        <f t="shared" si="4"/>
      </c>
      <c r="H21" s="334">
        <f t="shared" si="4"/>
      </c>
      <c r="I21" s="334">
        <f t="shared" si="4"/>
      </c>
      <c r="J21" s="334">
        <f t="shared" si="4"/>
      </c>
      <c r="K21" s="334">
        <f t="shared" si="4"/>
      </c>
      <c r="L21" s="334">
        <f t="shared" si="4"/>
      </c>
      <c r="M21" s="334">
        <f t="shared" si="4"/>
      </c>
      <c r="N21" s="344">
        <f t="shared" si="4"/>
      </c>
      <c r="O21" s="345">
        <f t="shared" si="4"/>
        <v>8.033126736482155</v>
      </c>
      <c r="P21" s="29"/>
      <c r="Q21" s="29"/>
      <c r="R21" s="29"/>
    </row>
    <row r="22" spans="1:18" ht="12.75">
      <c r="A22" s="29"/>
      <c r="B22" s="78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29"/>
      <c r="Q22" s="29"/>
      <c r="R22" s="29"/>
    </row>
    <row r="23" spans="1:18" ht="12.75">
      <c r="A23" s="29"/>
      <c r="B23" s="78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79"/>
      <c r="Q23" s="29"/>
      <c r="R23" s="29"/>
    </row>
    <row r="24" spans="1:18" ht="12.75">
      <c r="A24" s="58" t="s">
        <v>191</v>
      </c>
      <c r="B24" s="78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79"/>
      <c r="Q24" s="29"/>
      <c r="R24" s="29"/>
    </row>
    <row r="25" spans="1:18" ht="12.75">
      <c r="A25" s="2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29"/>
      <c r="R25" s="29"/>
    </row>
    <row r="26" spans="1:18" ht="13.5" thickBot="1">
      <c r="A26" s="74" t="s">
        <v>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3.5" thickBot="1">
      <c r="A27" s="29"/>
      <c r="B27" s="30"/>
      <c r="C27" s="31">
        <v>1</v>
      </c>
      <c r="D27" s="32">
        <f aca="true" t="shared" si="5" ref="D27:N27">C27+1</f>
        <v>2</v>
      </c>
      <c r="E27" s="32">
        <f t="shared" si="5"/>
        <v>3</v>
      </c>
      <c r="F27" s="32">
        <f t="shared" si="5"/>
        <v>4</v>
      </c>
      <c r="G27" s="32">
        <f t="shared" si="5"/>
        <v>5</v>
      </c>
      <c r="H27" s="32">
        <f t="shared" si="5"/>
        <v>6</v>
      </c>
      <c r="I27" s="32">
        <f t="shared" si="5"/>
        <v>7</v>
      </c>
      <c r="J27" s="32">
        <f t="shared" si="5"/>
        <v>8</v>
      </c>
      <c r="K27" s="32">
        <f t="shared" si="5"/>
        <v>9</v>
      </c>
      <c r="L27" s="32">
        <f t="shared" si="5"/>
        <v>10</v>
      </c>
      <c r="M27" s="32">
        <f t="shared" si="5"/>
        <v>11</v>
      </c>
      <c r="N27" s="33">
        <f t="shared" si="5"/>
        <v>12</v>
      </c>
      <c r="P27" s="29"/>
      <c r="Q27" s="29"/>
      <c r="R27" s="29"/>
    </row>
    <row r="28" spans="1:18" ht="12.75">
      <c r="A28" s="29"/>
      <c r="B28" s="35">
        <f>'Excerpt WDH'!$B39</f>
      </c>
      <c r="C28" s="283">
        <v>0</v>
      </c>
      <c r="D28" s="284">
        <f>D7*(SUM($C8:C$18))</f>
        <v>0</v>
      </c>
      <c r="E28" s="284">
        <f>E7*(SUM($C8:D$18))</f>
        <v>0</v>
      </c>
      <c r="F28" s="284">
        <f>F7*(SUM($C8:E$18))</f>
        <v>0</v>
      </c>
      <c r="G28" s="284">
        <f>G7*(SUM($C8:F$18))</f>
        <v>0</v>
      </c>
      <c r="H28" s="284">
        <f>H7*(SUM($C8:G$18))</f>
        <v>0</v>
      </c>
      <c r="I28" s="284">
        <f>I7*(SUM($C8:H$18))</f>
        <v>0</v>
      </c>
      <c r="J28" s="284">
        <f>J7*(SUM($C8:I$18))</f>
        <v>0</v>
      </c>
      <c r="K28" s="284">
        <f>K7*(SUM($C8:J$18))</f>
        <v>0</v>
      </c>
      <c r="L28" s="284">
        <f>L7*(SUM($C8:K$18))</f>
        <v>0</v>
      </c>
      <c r="M28" s="284">
        <f>M7*(SUM($C8:L$18))</f>
        <v>0</v>
      </c>
      <c r="N28" s="285">
        <f>N7*(SUM($C8:M$18))</f>
        <v>0</v>
      </c>
      <c r="P28" s="29"/>
      <c r="Q28" s="29"/>
      <c r="R28" s="29"/>
    </row>
    <row r="29" spans="1:14" ht="12.75">
      <c r="A29" s="29"/>
      <c r="B29" s="35">
        <f>'Excerpt WDH'!$B40</f>
        <v>10</v>
      </c>
      <c r="C29" s="286">
        <f>C8*((SUM(D$7:$N7)))</f>
        <v>0</v>
      </c>
      <c r="D29" s="287">
        <f>D8*((SUM(E$7:$N7)+SUM($C9:C$18)))</f>
        <v>246659</v>
      </c>
      <c r="E29" s="287">
        <f>E8*((SUM(F$7:$N7)+SUM($C9:D$18)))</f>
        <v>422781</v>
      </c>
      <c r="F29" s="287">
        <f>F8*((SUM(G$7:$N7)+SUM($C9:E$18)))</f>
        <v>0</v>
      </c>
      <c r="G29" s="287">
        <f>G8*((SUM(H$7:$N7)+SUM($C9:F$18)))</f>
        <v>0</v>
      </c>
      <c r="H29" s="287">
        <f>H8*((SUM(I$7:$N7)+SUM($C9:G$18)))</f>
        <v>0</v>
      </c>
      <c r="I29" s="287">
        <f>I8*((SUM(J$7:$N7)+SUM($C9:H$18)))</f>
        <v>0</v>
      </c>
      <c r="J29" s="287">
        <f>J8*((SUM(K$7:$N7)+SUM($C9:I$18)))</f>
        <v>0</v>
      </c>
      <c r="K29" s="287">
        <f>K8*((SUM(L$7:$N7)+SUM($C9:J$18)))</f>
        <v>0</v>
      </c>
      <c r="L29" s="287">
        <f>L8*((SUM(M$7:$N7)+SUM($C9:K$18)))</f>
        <v>0</v>
      </c>
      <c r="M29" s="287">
        <f>M8*((SUM(N$7:$N7)+SUM($C9:L$18)))</f>
        <v>0</v>
      </c>
      <c r="N29" s="288">
        <f>N8*(SUM($C9:M$18))</f>
        <v>0</v>
      </c>
    </row>
    <row r="30" spans="1:14" ht="12.75">
      <c r="A30" s="29"/>
      <c r="B30" s="35">
        <f>'Excerpt WDH'!$B41</f>
        <v>9</v>
      </c>
      <c r="C30" s="286">
        <f>C9*((SUM(D$7:$N8)))</f>
        <v>131720</v>
      </c>
      <c r="D30" s="287">
        <f>D9*((SUM(E$7:$N8)+SUM($C10:C$18)))</f>
        <v>442260</v>
      </c>
      <c r="E30" s="287">
        <f>E9*((SUM(F$7:$N8)+SUM($C10:D$18)))</f>
        <v>656040</v>
      </c>
      <c r="F30" s="287">
        <f>F9*((SUM(G$7:$N8)+SUM($C10:E$18)))</f>
        <v>0</v>
      </c>
      <c r="G30" s="287">
        <f>G9*((SUM(H$7:$N8)+SUM($C10:F$18)))</f>
        <v>0</v>
      </c>
      <c r="H30" s="287">
        <f>H9*((SUM(I$7:$N8)+SUM($C10:G$18)))</f>
        <v>0</v>
      </c>
      <c r="I30" s="287">
        <f>I9*((SUM(J$7:$N8)+SUM($C10:H$18)))</f>
        <v>0</v>
      </c>
      <c r="J30" s="287">
        <f>J9*((SUM(K$7:$N8)+SUM($C10:I$18)))</f>
        <v>0</v>
      </c>
      <c r="K30" s="287">
        <f>K9*((SUM(L$7:$N8)+SUM($C10:J$18)))</f>
        <v>0</v>
      </c>
      <c r="L30" s="287">
        <f>L9*((SUM(M$7:$N8)+SUM($C10:K$18)))</f>
        <v>0</v>
      </c>
      <c r="M30" s="287">
        <f>M9*((SUM(N$7:$N8)+SUM($C10:L$18)))</f>
        <v>0</v>
      </c>
      <c r="N30" s="288">
        <f>N9*(SUM($C10:M$18))</f>
        <v>0</v>
      </c>
    </row>
    <row r="31" spans="1:14" ht="12.75">
      <c r="A31" s="29"/>
      <c r="B31" s="35">
        <f>'Excerpt WDH'!$B42</f>
        <v>8</v>
      </c>
      <c r="C31" s="286">
        <f>C10*((SUM(D$7:$N9)))</f>
        <v>482620</v>
      </c>
      <c r="D31" s="287">
        <f>D10*((SUM(E$7:$N9)+SUM($C11:C$18)))</f>
        <v>539784</v>
      </c>
      <c r="E31" s="287">
        <f>E10*((SUM(F$7:$N9)+SUM($C11:D$18)))</f>
        <v>455285</v>
      </c>
      <c r="F31" s="287">
        <f>F10*((SUM(G$7:$N9)+SUM($C11:E$18)))</f>
        <v>0</v>
      </c>
      <c r="G31" s="287">
        <f>G10*((SUM(H$7:$N9)+SUM($C11:F$18)))</f>
        <v>0</v>
      </c>
      <c r="H31" s="287">
        <f>H10*((SUM(I$7:$N9)+SUM($C11:G$18)))</f>
        <v>0</v>
      </c>
      <c r="I31" s="287">
        <f>I10*((SUM(J$7:$N9)+SUM($C11:H$18)))</f>
        <v>0</v>
      </c>
      <c r="J31" s="287">
        <f>J10*((SUM(K$7:$N9)+SUM($C11:I$18)))</f>
        <v>0</v>
      </c>
      <c r="K31" s="287">
        <f>K10*((SUM(L$7:$N9)+SUM($C11:J$18)))</f>
        <v>0</v>
      </c>
      <c r="L31" s="287">
        <f>L10*((SUM(M$7:$N9)+SUM($C11:K$18)))</f>
        <v>0</v>
      </c>
      <c r="M31" s="287">
        <f>M10*((SUM(N$7:$N9)+SUM($C11:L$18)))</f>
        <v>0</v>
      </c>
      <c r="N31" s="288">
        <f>N10*(SUM($C11:M$18))</f>
        <v>0</v>
      </c>
    </row>
    <row r="32" spans="1:14" ht="12.75">
      <c r="A32" s="29"/>
      <c r="B32" s="35">
        <f>'Excerpt WDH'!$B43</f>
        <v>7</v>
      </c>
      <c r="C32" s="286">
        <f>C11*((SUM(D$7:$N10)))</f>
        <v>506660</v>
      </c>
      <c r="D32" s="287">
        <f>D11*((SUM(E$7:$N10)+SUM($C12:C$18)))</f>
        <v>380997</v>
      </c>
      <c r="E32" s="287">
        <f>E11*((SUM(F$7:$N10)+SUM($C12:D$18)))</f>
        <v>102396</v>
      </c>
      <c r="F32" s="287">
        <f>F11*((SUM(G$7:$N10)+SUM($C12:E$18)))</f>
        <v>0</v>
      </c>
      <c r="G32" s="287">
        <f>G11*((SUM(H$7:$N10)+SUM($C12:F$18)))</f>
        <v>0</v>
      </c>
      <c r="H32" s="287">
        <f>H11*((SUM(I$7:$N10)+SUM($C12:G$18)))</f>
        <v>0</v>
      </c>
      <c r="I32" s="287">
        <f>I11*((SUM(J$7:$N10)+SUM($C12:H$18)))</f>
        <v>0</v>
      </c>
      <c r="J32" s="287">
        <f>J11*((SUM(K$7:$N10)+SUM($C12:I$18)))</f>
        <v>0</v>
      </c>
      <c r="K32" s="287">
        <f>K11*((SUM(L$7:$N10)+SUM($C12:J$18)))</f>
        <v>0</v>
      </c>
      <c r="L32" s="287">
        <f>L11*((SUM(M$7:$N10)+SUM($C12:K$18)))</f>
        <v>0</v>
      </c>
      <c r="M32" s="287">
        <f>M11*((SUM(N$7:$N10)+SUM($C12:L$18)))</f>
        <v>0</v>
      </c>
      <c r="N32" s="288">
        <f>N11*(SUM($C12:M$18))</f>
        <v>0</v>
      </c>
    </row>
    <row r="33" spans="1:14" ht="12.75">
      <c r="A33" s="29"/>
      <c r="B33" s="35">
        <f>'Excerpt WDH'!$B44</f>
        <v>6</v>
      </c>
      <c r="C33" s="286">
        <f>C12*((SUM(D$7:$N11)))</f>
        <v>213890</v>
      </c>
      <c r="D33" s="287">
        <f>D12*((SUM(E$7:$N11)+SUM($C13:C$18)))</f>
        <v>96070</v>
      </c>
      <c r="E33" s="287">
        <f>E12*((SUM(F$7:$N11)+SUM($C13:D$18)))</f>
        <v>19320</v>
      </c>
      <c r="F33" s="287">
        <f>F12*((SUM(G$7:$N11)+SUM($C13:E$18)))</f>
        <v>0</v>
      </c>
      <c r="G33" s="287">
        <f>G12*((SUM(H$7:$N11)+SUM($C13:F$18)))</f>
        <v>0</v>
      </c>
      <c r="H33" s="287">
        <f>H12*((SUM(I$7:$N11)+SUM($C13:G$18)))</f>
        <v>0</v>
      </c>
      <c r="I33" s="287">
        <f>I12*((SUM(J$7:$N11)+SUM($C13:H$18)))</f>
        <v>0</v>
      </c>
      <c r="J33" s="287">
        <f>J12*((SUM(K$7:$N11)+SUM($C13:I$18)))</f>
        <v>0</v>
      </c>
      <c r="K33" s="287">
        <f>K12*((SUM(L$7:$N11)+SUM($C13:J$18)))</f>
        <v>0</v>
      </c>
      <c r="L33" s="287">
        <f>L12*((SUM(M$7:$N11)+SUM($C13:K$18)))</f>
        <v>0</v>
      </c>
      <c r="M33" s="287">
        <f>M12*((SUM(N$7:$N11)+SUM($C13:L$18)))</f>
        <v>0</v>
      </c>
      <c r="N33" s="288">
        <f>N12*(SUM($C13:M$18))</f>
        <v>0</v>
      </c>
    </row>
    <row r="34" spans="1:14" ht="12.75">
      <c r="A34" s="29"/>
      <c r="B34" s="35">
        <f>'Excerpt WDH'!$B45</f>
        <v>5</v>
      </c>
      <c r="C34" s="286">
        <f>C13*((SUM(D$7:$N12)))</f>
        <v>223200</v>
      </c>
      <c r="D34" s="287">
        <f>D13*((SUM(E$7:$N12)+SUM($C14:C$18)))</f>
        <v>81594</v>
      </c>
      <c r="E34" s="287">
        <f>E13*((SUM(F$7:$N12)+SUM($C14:D$18)))</f>
        <v>3074</v>
      </c>
      <c r="F34" s="287">
        <f>F13*((SUM(G$7:$N12)+SUM($C14:E$18)))</f>
        <v>0</v>
      </c>
      <c r="G34" s="287">
        <f>G13*((SUM(H$7:$N12)+SUM($C14:F$18)))</f>
        <v>0</v>
      </c>
      <c r="H34" s="287">
        <f>H13*((SUM(I$7:$N12)+SUM($C14:G$18)))</f>
        <v>0</v>
      </c>
      <c r="I34" s="287">
        <f>I13*((SUM(J$7:$N12)+SUM($C14:H$18)))</f>
        <v>0</v>
      </c>
      <c r="J34" s="287">
        <f>J13*((SUM(K$7:$N12)+SUM($C14:I$18)))</f>
        <v>0</v>
      </c>
      <c r="K34" s="287">
        <f>K13*((SUM(L$7:$N12)+SUM($C14:J$18)))</f>
        <v>0</v>
      </c>
      <c r="L34" s="287">
        <f>L13*((SUM(M$7:$N12)+SUM($C14:K$18)))</f>
        <v>0</v>
      </c>
      <c r="M34" s="287">
        <f>M13*((SUM(N$7:$N12)+SUM($C14:L$18)))</f>
        <v>0</v>
      </c>
      <c r="N34" s="288">
        <f>N13*(SUM($C14:M$18))</f>
        <v>0</v>
      </c>
    </row>
    <row r="35" spans="1:14" ht="12.75">
      <c r="A35" s="29"/>
      <c r="B35" s="35">
        <f>'Excerpt WDH'!$B46</f>
        <v>4</v>
      </c>
      <c r="C35" s="286">
        <f>C14*((SUM(D$7:$N13)))</f>
        <v>51312</v>
      </c>
      <c r="D35" s="287">
        <f>D14*((SUM(E$7:$N13)+SUM($C15:C$18)))</f>
        <v>15480</v>
      </c>
      <c r="E35" s="287">
        <f>E14*((SUM(F$7:$N13)+SUM($C15:D$18)))</f>
        <v>352</v>
      </c>
      <c r="F35" s="287">
        <f>F14*((SUM(G$7:$N13)+SUM($C15:E$18)))</f>
        <v>0</v>
      </c>
      <c r="G35" s="287">
        <f>G14*((SUM(H$7:$N13)+SUM($C15:F$18)))</f>
        <v>0</v>
      </c>
      <c r="H35" s="287">
        <f>H14*((SUM(I$7:$N13)+SUM($C15:G$18)))</f>
        <v>0</v>
      </c>
      <c r="I35" s="287">
        <f>I14*((SUM(J$7:$N13)+SUM($C15:H$18)))</f>
        <v>0</v>
      </c>
      <c r="J35" s="287">
        <f>J14*((SUM(K$7:$N13)+SUM($C15:I$18)))</f>
        <v>0</v>
      </c>
      <c r="K35" s="287">
        <f>K14*((SUM(L$7:$N13)+SUM($C15:J$18)))</f>
        <v>0</v>
      </c>
      <c r="L35" s="287">
        <f>L14*((SUM(M$7:$N13)+SUM($C15:K$18)))</f>
        <v>0</v>
      </c>
      <c r="M35" s="287">
        <f>M14*((SUM(N$7:$N13)+SUM($C15:L$18)))</f>
        <v>0</v>
      </c>
      <c r="N35" s="288">
        <f>N14*(SUM($C15:M$18))</f>
        <v>0</v>
      </c>
    </row>
    <row r="36" spans="1:14" ht="12.75">
      <c r="A36" s="29"/>
      <c r="B36" s="35">
        <f>'Excerpt WDH'!$B47</f>
        <v>3</v>
      </c>
      <c r="C36" s="286">
        <f>C15*((SUM(D$7:$N14)))</f>
        <v>32280</v>
      </c>
      <c r="D36" s="287">
        <f>D15*((SUM(E$7:$N14)+SUM($C16:C$18)))</f>
        <v>4647</v>
      </c>
      <c r="E36" s="287">
        <f>E15*((SUM(F$7:$N14)+SUM($C16:D$18)))</f>
        <v>57</v>
      </c>
      <c r="F36" s="287">
        <f>F15*((SUM(G$7:$N14)+SUM($C16:E$18)))</f>
        <v>0</v>
      </c>
      <c r="G36" s="287">
        <f>G15*((SUM(H$7:$N14)+SUM($C16:F$18)))</f>
        <v>0</v>
      </c>
      <c r="H36" s="287">
        <f>H15*((SUM(I$7:$N14)+SUM($C16:G$18)))</f>
        <v>0</v>
      </c>
      <c r="I36" s="287">
        <f>I15*((SUM(J$7:$N14)+SUM($C16:H$18)))</f>
        <v>0</v>
      </c>
      <c r="J36" s="287">
        <f>J15*((SUM(K$7:$N14)+SUM($C16:I$18)))</f>
        <v>0</v>
      </c>
      <c r="K36" s="287">
        <f>K15*((SUM(L$7:$N14)+SUM($C16:J$18)))</f>
        <v>0</v>
      </c>
      <c r="L36" s="287">
        <f>L15*((SUM(M$7:$N14)+SUM($C16:K$18)))</f>
        <v>0</v>
      </c>
      <c r="M36" s="287">
        <f>M15*((SUM(N$7:$N14)+SUM($C16:L$18)))</f>
        <v>0</v>
      </c>
      <c r="N36" s="288">
        <f>N15*(SUM($C16:M$18))</f>
        <v>0</v>
      </c>
    </row>
    <row r="37" spans="1:14" ht="12.75">
      <c r="A37" s="29"/>
      <c r="B37" s="35">
        <f>'Excerpt WDH'!$B48</f>
        <v>2</v>
      </c>
      <c r="C37" s="286">
        <f>C16*((SUM(D$7:$N15)))</f>
        <v>19404</v>
      </c>
      <c r="D37" s="287">
        <f>D16*((SUM(E$7:$N15)+SUM($C17:C$18)))</f>
        <v>3092</v>
      </c>
      <c r="E37" s="287">
        <f>E16*((SUM(F$7:$N15)+SUM($C17:D$18)))</f>
        <v>55</v>
      </c>
      <c r="F37" s="287">
        <f>F16*((SUM(G$7:$N15)+SUM($C17:E$18)))</f>
        <v>0</v>
      </c>
      <c r="G37" s="287">
        <f>G16*((SUM(H$7:$N15)+SUM($C17:F$18)))</f>
        <v>0</v>
      </c>
      <c r="H37" s="287">
        <f>H16*((SUM(I$7:$N15)+SUM($C17:G$18)))</f>
        <v>0</v>
      </c>
      <c r="I37" s="287">
        <f>I16*((SUM(J$7:$N15)+SUM($C17:H$18)))</f>
        <v>0</v>
      </c>
      <c r="J37" s="287">
        <f>J16*((SUM(K$7:$N15)+SUM($C17:I$18)))</f>
        <v>0</v>
      </c>
      <c r="K37" s="287">
        <f>K16*((SUM(L$7:$N15)+SUM($C17:J$18)))</f>
        <v>0</v>
      </c>
      <c r="L37" s="287">
        <f>L16*((SUM(M$7:$N15)+SUM($C17:K$18)))</f>
        <v>0</v>
      </c>
      <c r="M37" s="287">
        <f>M16*((SUM(N$7:$N15)+SUM($C17:L$18)))</f>
        <v>0</v>
      </c>
      <c r="N37" s="288">
        <f>N16*(SUM($C17:M$18))</f>
        <v>0</v>
      </c>
    </row>
    <row r="38" spans="1:14" ht="12.75">
      <c r="A38" s="29"/>
      <c r="B38" s="35">
        <f>'Excerpt WDH'!$B49</f>
        <v>1</v>
      </c>
      <c r="C38" s="286">
        <f>C17*((SUM(D$7:$N16)))</f>
        <v>3241</v>
      </c>
      <c r="D38" s="287">
        <f>D17*((SUM(E$7:$N16)+SUM($C18:C$18)))</f>
        <v>3100</v>
      </c>
      <c r="E38" s="287">
        <f>E17*((SUM(F$7:$N16)+SUM($C18:D$18)))</f>
        <v>0</v>
      </c>
      <c r="F38" s="287">
        <f>F17*((SUM(G$7:$N16)+SUM($C18:E$18)))</f>
        <v>0</v>
      </c>
      <c r="G38" s="287">
        <f>G17*((SUM(H$7:$N16)+SUM($C18:F$18)))</f>
        <v>0</v>
      </c>
      <c r="H38" s="287">
        <f>H17*((SUM(I$7:$N16)+SUM($C18:G$18)))</f>
        <v>0</v>
      </c>
      <c r="I38" s="287">
        <f>I17*((SUM(J$7:$N16)+SUM($C18:H$18)))</f>
        <v>0</v>
      </c>
      <c r="J38" s="287">
        <f>J17*((SUM(K$7:$N16)+SUM($C18:I$18)))</f>
        <v>0</v>
      </c>
      <c r="K38" s="287">
        <f>K17*((SUM(L$7:$N16)+SUM($C18:J$18)))</f>
        <v>0</v>
      </c>
      <c r="L38" s="287">
        <f>L17*((SUM(M$7:$N16)+SUM($C18:K$18)))</f>
        <v>0</v>
      </c>
      <c r="M38" s="287">
        <f>M17*((SUM(N$7:$N16)+SUM($C18:L$18)))</f>
        <v>0</v>
      </c>
      <c r="N38" s="288">
        <f>N17*(SUM($C18:M$18))</f>
        <v>0</v>
      </c>
    </row>
    <row r="39" spans="1:14" ht="13.5" thickBot="1">
      <c r="A39" s="29"/>
      <c r="B39" s="36">
        <f>'Excerpt WDH'!$B50</f>
        <v>0</v>
      </c>
      <c r="C39" s="289">
        <f>C18*((SUM(D$7:$N17)))</f>
        <v>19458</v>
      </c>
      <c r="D39" s="290">
        <f>D18*((SUM(E$7:$N17)))</f>
        <v>3088</v>
      </c>
      <c r="E39" s="290">
        <f>E18*((SUM(F$7:$N17)))</f>
        <v>0</v>
      </c>
      <c r="F39" s="290">
        <f>F18*((SUM(G$7:$N17)))</f>
        <v>0</v>
      </c>
      <c r="G39" s="290">
        <f>G18*((SUM(H$7:$N17)))</f>
        <v>0</v>
      </c>
      <c r="H39" s="290">
        <f>H18*((SUM(I$7:$N17)))</f>
        <v>0</v>
      </c>
      <c r="I39" s="290">
        <f>I18*((SUM(J$7:$N17)))</f>
        <v>0</v>
      </c>
      <c r="J39" s="290">
        <f>J18*((SUM(K$7:$N17)))</f>
        <v>0</v>
      </c>
      <c r="K39" s="290">
        <f>K18*((SUM(L$7:$N17)))</f>
        <v>0</v>
      </c>
      <c r="L39" s="290">
        <f>L18*((SUM(M$7:$N17)))</f>
        <v>0</v>
      </c>
      <c r="M39" s="290">
        <f>M18*((SUM(N$7:$N17)))</f>
        <v>0</v>
      </c>
      <c r="N39" s="291">
        <v>0</v>
      </c>
    </row>
    <row r="40" spans="1:12" ht="12.75">
      <c r="A40" s="29"/>
      <c r="B40" t="s">
        <v>36</v>
      </c>
      <c r="H40" s="362">
        <f>0.5*(SUM(C28:N39))</f>
        <v>2579958</v>
      </c>
      <c r="I40" s="362"/>
      <c r="J40" s="362"/>
      <c r="K40" s="302"/>
      <c r="L40" s="302"/>
    </row>
    <row r="42" ht="13.5" thickBot="1">
      <c r="A42" s="74" t="s">
        <v>48</v>
      </c>
    </row>
    <row r="43" spans="1:14" ht="13.5" thickBot="1">
      <c r="A43" s="29"/>
      <c r="B43" s="30"/>
      <c r="C43" s="31">
        <v>1</v>
      </c>
      <c r="D43" s="32">
        <f aca="true" t="shared" si="6" ref="D43:N43">C43+1</f>
        <v>2</v>
      </c>
      <c r="E43" s="32">
        <f t="shared" si="6"/>
        <v>3</v>
      </c>
      <c r="F43" s="32">
        <f t="shared" si="6"/>
        <v>4</v>
      </c>
      <c r="G43" s="32">
        <f t="shared" si="6"/>
        <v>5</v>
      </c>
      <c r="H43" s="32">
        <f t="shared" si="6"/>
        <v>6</v>
      </c>
      <c r="I43" s="32">
        <f t="shared" si="6"/>
        <v>7</v>
      </c>
      <c r="J43" s="32">
        <f t="shared" si="6"/>
        <v>8</v>
      </c>
      <c r="K43" s="32">
        <f t="shared" si="6"/>
        <v>9</v>
      </c>
      <c r="L43" s="32">
        <f t="shared" si="6"/>
        <v>10</v>
      </c>
      <c r="M43" s="32">
        <f t="shared" si="6"/>
        <v>11</v>
      </c>
      <c r="N43" s="33">
        <f t="shared" si="6"/>
        <v>12</v>
      </c>
    </row>
    <row r="44" spans="1:14" ht="12.75">
      <c r="A44" s="29"/>
      <c r="B44" s="35">
        <f>'Excerpt WDH'!$B39</f>
      </c>
      <c r="C44" s="293">
        <f>C7*(SUM(D8:$N$18))</f>
        <v>0</v>
      </c>
      <c r="D44" s="294">
        <f>D7*(SUM(E8:$N$18))</f>
        <v>0</v>
      </c>
      <c r="E44" s="294">
        <f>E7*(SUM(F8:$N$18))</f>
        <v>0</v>
      </c>
      <c r="F44" s="294">
        <f>F7*(SUM(G8:$N$18))</f>
        <v>0</v>
      </c>
      <c r="G44" s="294">
        <f>G7*(SUM(H8:$N$18))</f>
        <v>0</v>
      </c>
      <c r="H44" s="294">
        <f>H7*(SUM(I8:$N$18))</f>
        <v>0</v>
      </c>
      <c r="I44" s="294">
        <f>I7*(SUM(J8:$N$18))</f>
        <v>0</v>
      </c>
      <c r="J44" s="294">
        <f>J7*(SUM(K8:$N$18))</f>
        <v>0</v>
      </c>
      <c r="K44" s="294">
        <f>K7*(SUM(L8:$N$18))</f>
        <v>0</v>
      </c>
      <c r="L44" s="294">
        <f>L7*(SUM(M8:$N$18))</f>
        <v>0</v>
      </c>
      <c r="M44" s="294">
        <f>M7*(SUM(N8:$N$18))</f>
        <v>0</v>
      </c>
      <c r="N44" s="301">
        <f>N7*(SUM($N8:O$18))</f>
        <v>0</v>
      </c>
    </row>
    <row r="45" spans="1:14" ht="12.75">
      <c r="A45" s="29"/>
      <c r="B45" s="35">
        <f>'Excerpt WDH'!$B40</f>
        <v>10</v>
      </c>
      <c r="C45" s="295">
        <f>C8*(SUM(D9:$N$18))</f>
        <v>756651</v>
      </c>
      <c r="D45" s="296">
        <f>D8*((SUM($C$7:C7)+SUM(E9:$N$18)))</f>
        <v>292657</v>
      </c>
      <c r="E45" s="296">
        <f>E8*((SUM($C$7:D7)+SUM(F9:$N$18)))</f>
        <v>0</v>
      </c>
      <c r="F45" s="296">
        <f>F8*((SUM($C$7:E7)+SUM(G9:$N$18)))</f>
        <v>0</v>
      </c>
      <c r="G45" s="296">
        <f>G8*((SUM($C$7:F7)+SUM(H9:$N$18)))</f>
        <v>0</v>
      </c>
      <c r="H45" s="296">
        <f>H8*((SUM($C$7:G7)+SUM(I9:$N$18)))</f>
        <v>0</v>
      </c>
      <c r="I45" s="296">
        <f>I8*((SUM($C$7:H7)+SUM(J9:$N$18)))</f>
        <v>0</v>
      </c>
      <c r="J45" s="296">
        <f>J8*((SUM($C$7:I7)+SUM(K9:$N$18)))</f>
        <v>0</v>
      </c>
      <c r="K45" s="296">
        <f>K8*((SUM($C$7:J7)+SUM(L9:$N$18)))</f>
        <v>0</v>
      </c>
      <c r="L45" s="296">
        <f>L8*((SUM($C$7:K7)+SUM(M9:$N$18)))</f>
        <v>0</v>
      </c>
      <c r="M45" s="296">
        <f>M8*((SUM($C$7:L7)+SUM(N9:$N$18)))</f>
        <v>0</v>
      </c>
      <c r="N45" s="297">
        <f>N8*(SUM($C$7:M7))</f>
        <v>0</v>
      </c>
    </row>
    <row r="46" spans="1:14" ht="12.75">
      <c r="A46" s="29"/>
      <c r="B46" s="35">
        <f>'Excerpt WDH'!$B41</f>
        <v>9</v>
      </c>
      <c r="C46" s="295">
        <f>C9*(SUM(D10:$N$18))</f>
        <v>735852</v>
      </c>
      <c r="D46" s="296">
        <f>D9*((SUM($C$7:C8)+SUM(E10:$N$18)))</f>
        <v>589225</v>
      </c>
      <c r="E46" s="296">
        <f>E9*((SUM($C$7:D8)+SUM(F10:$N$18)))</f>
        <v>168270</v>
      </c>
      <c r="F46" s="296">
        <f>F9*((SUM($C$7:E8)+SUM(G10:$N$18)))</f>
        <v>0</v>
      </c>
      <c r="G46" s="296">
        <f>G9*((SUM($C$7:F8)+SUM(H10:$N$18)))</f>
        <v>0</v>
      </c>
      <c r="H46" s="296">
        <f>H9*((SUM($C$7:G8)+SUM(I10:$N$18)))</f>
        <v>0</v>
      </c>
      <c r="I46" s="296">
        <f>I9*((SUM($C$7:H8)+SUM(J10:$N$18)))</f>
        <v>0</v>
      </c>
      <c r="J46" s="296">
        <f>J9*((SUM($C$7:I8)+SUM(K10:$N$18)))</f>
        <v>0</v>
      </c>
      <c r="K46" s="296">
        <f>K9*((SUM($C$7:J8)+SUM(L10:$N$18)))</f>
        <v>0</v>
      </c>
      <c r="L46" s="296">
        <f>L9*((SUM($C$7:K8)+SUM(M10:$N$18)))</f>
        <v>0</v>
      </c>
      <c r="M46" s="296">
        <f>M9*((SUM($C$7:L8)+SUM(N10:$N$18)))</f>
        <v>0</v>
      </c>
      <c r="N46" s="297">
        <f>N9*(SUM($C$7:M8))</f>
        <v>0</v>
      </c>
    </row>
    <row r="47" spans="1:14" ht="12.75">
      <c r="A47" s="29"/>
      <c r="B47" s="35">
        <f>'Excerpt WDH'!$B42</f>
        <v>8</v>
      </c>
      <c r="C47" s="295">
        <f>C10*(SUM(D11:$N$18))</f>
        <v>386096</v>
      </c>
      <c r="D47" s="296">
        <f>D10*((SUM($C$7:C9)+SUM(E11:$N$18)))</f>
        <v>656208</v>
      </c>
      <c r="E47" s="296">
        <f>E10*((SUM($C$7:D9)+SUM(F11:$N$18)))</f>
        <v>687475</v>
      </c>
      <c r="F47" s="296">
        <f>F10*((SUM($C$7:E9)+SUM(G11:$N$18)))</f>
        <v>0</v>
      </c>
      <c r="G47" s="296">
        <f>G10*((SUM($C$7:F9)+SUM(H11:$N$18)))</f>
        <v>0</v>
      </c>
      <c r="H47" s="296">
        <f>H10*((SUM($C$7:G9)+SUM(I11:$N$18)))</f>
        <v>0</v>
      </c>
      <c r="I47" s="296">
        <f>I10*((SUM($C$7:H9)+SUM(J11:$N$18)))</f>
        <v>0</v>
      </c>
      <c r="J47" s="296">
        <f>J10*((SUM($C$7:I9)+SUM(K11:$N$18)))</f>
        <v>0</v>
      </c>
      <c r="K47" s="296">
        <f>K10*((SUM($C$7:J9)+SUM(L11:$N$18)))</f>
        <v>0</v>
      </c>
      <c r="L47" s="296">
        <f>L10*((SUM($C$7:K9)+SUM(M11:$N$18)))</f>
        <v>0</v>
      </c>
      <c r="M47" s="296">
        <f>M10*((SUM($C$7:L9)+SUM(N11:$N$18)))</f>
        <v>0</v>
      </c>
      <c r="N47" s="297">
        <f>N10*(SUM($C$7:M9))</f>
        <v>0</v>
      </c>
    </row>
    <row r="48" spans="1:14" ht="12.75">
      <c r="A48" s="29"/>
      <c r="B48" s="35">
        <f>'Excerpt WDH'!$B43</f>
        <v>7</v>
      </c>
      <c r="C48" s="295">
        <f>C11*(SUM(D12:$N$18))</f>
        <v>69740</v>
      </c>
      <c r="D48" s="296">
        <f>D11*((SUM($C$7:C10)+SUM(E12:$N$18)))</f>
        <v>372963</v>
      </c>
      <c r="E48" s="296">
        <f>E11*((SUM($C$7:D10)+SUM(F12:$N$18)))</f>
        <v>725676</v>
      </c>
      <c r="F48" s="296">
        <f>F11*((SUM($C$7:E10)+SUM(G12:$N$18)))</f>
        <v>0</v>
      </c>
      <c r="G48" s="296">
        <f>G11*((SUM($C$7:F10)+SUM(H12:$N$18)))</f>
        <v>0</v>
      </c>
      <c r="H48" s="296">
        <f>H11*((SUM($C$7:G10)+SUM(I12:$N$18)))</f>
        <v>0</v>
      </c>
      <c r="I48" s="296">
        <f>I11*((SUM($C$7:H10)+SUM(J12:$N$18)))</f>
        <v>0</v>
      </c>
      <c r="J48" s="296">
        <f>J11*((SUM($C$7:I10)+SUM(K12:$N$18)))</f>
        <v>0</v>
      </c>
      <c r="K48" s="296">
        <f>K11*((SUM($C$7:J10)+SUM(L12:$N$18)))</f>
        <v>0</v>
      </c>
      <c r="L48" s="296">
        <f>L11*((SUM($C$7:K10)+SUM(M12:$N$18)))</f>
        <v>0</v>
      </c>
      <c r="M48" s="296">
        <f>M11*((SUM($C$7:L10)+SUM(N12:$N$18)))</f>
        <v>0</v>
      </c>
      <c r="N48" s="297">
        <f>N11*(SUM($C$7:M10))</f>
        <v>0</v>
      </c>
    </row>
    <row r="49" spans="1:14" ht="12.75">
      <c r="A49" s="29"/>
      <c r="B49" s="35">
        <f>'Excerpt WDH'!$B44</f>
        <v>6</v>
      </c>
      <c r="C49" s="295">
        <f>C12*(SUM(D13:$N$18))</f>
        <v>10731</v>
      </c>
      <c r="D49" s="296">
        <f>D12*((SUM($C$7:C11)+SUM(E13:$N$18)))</f>
        <v>85930</v>
      </c>
      <c r="E49" s="296">
        <f>E12*((SUM($C$7:D11)+SUM(F13:$N$18)))</f>
        <v>295155</v>
      </c>
      <c r="F49" s="296">
        <f>F12*((SUM($C$7:E11)+SUM(G13:$N$18)))</f>
        <v>0</v>
      </c>
      <c r="G49" s="296">
        <f>G12*((SUM($C$7:F11)+SUM(H13:$N$18)))</f>
        <v>0</v>
      </c>
      <c r="H49" s="296">
        <f>H12*((SUM($C$7:G11)+SUM(I13:$N$18)))</f>
        <v>0</v>
      </c>
      <c r="I49" s="296">
        <f>I12*((SUM($C$7:H11)+SUM(J13:$N$18)))</f>
        <v>0</v>
      </c>
      <c r="J49" s="296">
        <f>J12*((SUM($C$7:I11)+SUM(K13:$N$18)))</f>
        <v>0</v>
      </c>
      <c r="K49" s="296">
        <f>K12*((SUM($C$7:J11)+SUM(L13:$N$18)))</f>
        <v>0</v>
      </c>
      <c r="L49" s="296">
        <f>L12*((SUM($C$7:K11)+SUM(M13:$N$18)))</f>
        <v>0</v>
      </c>
      <c r="M49" s="296">
        <f>M12*((SUM($C$7:L11)+SUM(N13:$N$18)))</f>
        <v>0</v>
      </c>
      <c r="N49" s="297">
        <f>N12*(SUM($C$7:M11))</f>
        <v>0</v>
      </c>
    </row>
    <row r="50" spans="1:14" ht="12.75">
      <c r="A50" s="29"/>
      <c r="B50" s="35">
        <f>'Excerpt WDH'!$B45</f>
        <v>5</v>
      </c>
      <c r="C50" s="295">
        <f>C13*(SUM(D14:$N$18))</f>
        <v>2880</v>
      </c>
      <c r="D50" s="296">
        <f>D13*((SUM($C$7:C12)+SUM(E14:$N$18)))</f>
        <v>72468</v>
      </c>
      <c r="E50" s="296">
        <f>E13*((SUM($C$7:D12)+SUM(F14:$N$18)))</f>
        <v>156297</v>
      </c>
      <c r="F50" s="296">
        <f>F13*((SUM($C$7:E12)+SUM(G14:$N$18)))</f>
        <v>0</v>
      </c>
      <c r="G50" s="296">
        <f>G13*((SUM($C$7:F12)+SUM(H14:$N$18)))</f>
        <v>0</v>
      </c>
      <c r="H50" s="296">
        <f>H13*((SUM($C$7:G12)+SUM(I14:$N$18)))</f>
        <v>0</v>
      </c>
      <c r="I50" s="296">
        <f>I13*((SUM($C$7:H12)+SUM(J14:$N$18)))</f>
        <v>0</v>
      </c>
      <c r="J50" s="296">
        <f>J13*((SUM($C$7:I12)+SUM(K14:$N$18)))</f>
        <v>0</v>
      </c>
      <c r="K50" s="296">
        <f>K13*((SUM($C$7:J12)+SUM(L14:$N$18)))</f>
        <v>0</v>
      </c>
      <c r="L50" s="296">
        <f>L13*((SUM($C$7:K12)+SUM(M14:$N$18)))</f>
        <v>0</v>
      </c>
      <c r="M50" s="296">
        <f>M13*((SUM($C$7:L12)+SUM(N14:$N$18)))</f>
        <v>0</v>
      </c>
      <c r="N50" s="297">
        <f>N13*(SUM($C$7:M12))</f>
        <v>0</v>
      </c>
    </row>
    <row r="51" spans="1:14" ht="12.75">
      <c r="A51" s="29"/>
      <c r="B51" s="35">
        <f>'Excerpt WDH'!$B46</f>
        <v>4</v>
      </c>
      <c r="C51" s="295">
        <f>C14*(SUM(D15:$N$18))</f>
        <v>304</v>
      </c>
      <c r="D51" s="296">
        <f>D14*((SUM($C$7:C13)+SUM(E15:$N$18)))</f>
        <v>14030</v>
      </c>
      <c r="E51" s="296">
        <f>E14*((SUM($C$7:D13)+SUM(F15:$N$18)))</f>
        <v>33825</v>
      </c>
      <c r="F51" s="296">
        <f>F14*((SUM($C$7:E13)+SUM(G15:$N$18)))</f>
        <v>0</v>
      </c>
      <c r="G51" s="296">
        <f>G14*((SUM($C$7:F13)+SUM(H15:$N$18)))</f>
        <v>0</v>
      </c>
      <c r="H51" s="296">
        <f>H14*((SUM($C$7:G13)+SUM(I15:$N$18)))</f>
        <v>0</v>
      </c>
      <c r="I51" s="296">
        <f>I14*((SUM($C$7:H13)+SUM(J15:$N$18)))</f>
        <v>0</v>
      </c>
      <c r="J51" s="296">
        <f>J14*((SUM($C$7:I13)+SUM(K15:$N$18)))</f>
        <v>0</v>
      </c>
      <c r="K51" s="296">
        <f>K14*((SUM($C$7:J13)+SUM(L15:$N$18)))</f>
        <v>0</v>
      </c>
      <c r="L51" s="296">
        <f>L14*((SUM($C$7:K13)+SUM(M15:$N$18)))</f>
        <v>0</v>
      </c>
      <c r="M51" s="296">
        <f>M14*((SUM($C$7:L13)+SUM(N15:$N$18)))</f>
        <v>0</v>
      </c>
      <c r="N51" s="297">
        <f>N14*(SUM($C$7:M13))</f>
        <v>0</v>
      </c>
    </row>
    <row r="52" spans="1:14" ht="12.75">
      <c r="A52" s="29"/>
      <c r="B52" s="35">
        <f>'Excerpt WDH'!$B47</f>
        <v>3</v>
      </c>
      <c r="C52" s="295">
        <f>C15*(SUM(D16:$N$18))</f>
        <v>130</v>
      </c>
      <c r="D52" s="296">
        <f>D15*((SUM($C$7:C14)+SUM(E16:$N$18)))</f>
        <v>4248</v>
      </c>
      <c r="E52" s="296">
        <f>E15*((SUM($C$7:D14)+SUM(F16:$N$18)))</f>
        <v>9303</v>
      </c>
      <c r="F52" s="296">
        <f>F15*((SUM($C$7:E14)+SUM(G16:$N$18)))</f>
        <v>0</v>
      </c>
      <c r="G52" s="296">
        <f>G15*((SUM($C$7:F14)+SUM(H16:$N$18)))</f>
        <v>0</v>
      </c>
      <c r="H52" s="296">
        <f>H15*((SUM($C$7:G14)+SUM(I16:$N$18)))</f>
        <v>0</v>
      </c>
      <c r="I52" s="296">
        <f>I15*((SUM($C$7:H14)+SUM(J16:$N$18)))</f>
        <v>0</v>
      </c>
      <c r="J52" s="296">
        <f>J15*((SUM($C$7:I14)+SUM(K16:$N$18)))</f>
        <v>0</v>
      </c>
      <c r="K52" s="296">
        <f>K15*((SUM($C$7:J14)+SUM(L16:$N$18)))</f>
        <v>0</v>
      </c>
      <c r="L52" s="296">
        <f>L15*((SUM($C$7:K14)+SUM(M16:$N$18)))</f>
        <v>0</v>
      </c>
      <c r="M52" s="296">
        <f>M15*((SUM($C$7:L14)+SUM(N16:$N$18)))</f>
        <v>0</v>
      </c>
      <c r="N52" s="297">
        <f>N15*(SUM($C$7:M14))</f>
        <v>0</v>
      </c>
    </row>
    <row r="53" spans="1:14" ht="12.75">
      <c r="A53" s="29"/>
      <c r="B53" s="35">
        <f>'Excerpt WDH'!$B48</f>
        <v>2</v>
      </c>
      <c r="C53" s="295">
        <f>C16*(SUM(D17:$N$18))</f>
        <v>36</v>
      </c>
      <c r="D53" s="296">
        <f>D16*((SUM($C$7:C15)+SUM(E17:$N$18)))</f>
        <v>2842</v>
      </c>
      <c r="E53" s="296">
        <f>E16*((SUM($C$7:D15)+SUM(F17:$N$18)))</f>
        <v>15570</v>
      </c>
      <c r="F53" s="296">
        <f>F16*((SUM($C$7:E15)+SUM(G17:$N$18)))</f>
        <v>0</v>
      </c>
      <c r="G53" s="296">
        <f>G16*((SUM($C$7:F15)+SUM(H17:$N$18)))</f>
        <v>0</v>
      </c>
      <c r="H53" s="296">
        <f>H16*((SUM($C$7:G15)+SUM(I17:$N$18)))</f>
        <v>0</v>
      </c>
      <c r="I53" s="296">
        <f>I16*((SUM($C$7:H15)+SUM(J17:$N$18)))</f>
        <v>0</v>
      </c>
      <c r="J53" s="296">
        <f>J16*((SUM($C$7:I15)+SUM(K17:$N$18)))</f>
        <v>0</v>
      </c>
      <c r="K53" s="296">
        <f>K16*((SUM($C$7:J15)+SUM(L17:$N$18)))</f>
        <v>0</v>
      </c>
      <c r="L53" s="296">
        <f>L16*((SUM($C$7:K15)+SUM(M17:$N$18)))</f>
        <v>0</v>
      </c>
      <c r="M53" s="296">
        <f>M16*((SUM($C$7:L15)+SUM(N17:$N$18)))</f>
        <v>0</v>
      </c>
      <c r="N53" s="297">
        <f>N16*(SUM($C$7:M15))</f>
        <v>0</v>
      </c>
    </row>
    <row r="54" spans="1:14" ht="12.75">
      <c r="A54" s="29"/>
      <c r="B54" s="35">
        <f>'Excerpt WDH'!$B49</f>
        <v>1</v>
      </c>
      <c r="C54" s="295">
        <f>C17*(SUM(D18:$N$18))</f>
        <v>4</v>
      </c>
      <c r="D54" s="296">
        <f>D17*((SUM($C$7:C16)+SUM(E18:$N$18)))</f>
        <v>2854</v>
      </c>
      <c r="E54" s="296">
        <f>E17*((SUM($C$7:D16)+SUM(F18:$N$18)))</f>
        <v>0</v>
      </c>
      <c r="F54" s="296">
        <f>F17*((SUM($C$7:E16)+SUM(G18:$N$18)))</f>
        <v>0</v>
      </c>
      <c r="G54" s="296">
        <f>G17*((SUM($C$7:F16)+SUM(H18:$N$18)))</f>
        <v>0</v>
      </c>
      <c r="H54" s="296">
        <f>H17*((SUM($C$7:G16)+SUM(I18:$N$18)))</f>
        <v>0</v>
      </c>
      <c r="I54" s="296">
        <f>I17*((SUM($C$7:H16)+SUM(J18:$N$18)))</f>
        <v>0</v>
      </c>
      <c r="J54" s="296">
        <f>J17*((SUM($C$7:I16)+SUM(K18:$N$18)))</f>
        <v>0</v>
      </c>
      <c r="K54" s="296">
        <f>K17*((SUM($C$7:J16)+SUM(L18:$N$18)))</f>
        <v>0</v>
      </c>
      <c r="L54" s="296">
        <f>L17*((SUM($C$7:K16)+SUM(M18:$N$18)))</f>
        <v>0</v>
      </c>
      <c r="M54" s="296">
        <f>M17*((SUM($C$7:L16)+SUM(N18:$N$18)))</f>
        <v>0</v>
      </c>
      <c r="N54" s="297">
        <f>N17*(SUM($C$7:M16))</f>
        <v>0</v>
      </c>
    </row>
    <row r="55" spans="1:14" ht="13.5" thickBot="1">
      <c r="A55" s="29"/>
      <c r="B55" s="36">
        <f>'Excerpt WDH'!$B50</f>
        <v>0</v>
      </c>
      <c r="C55" s="298">
        <v>0</v>
      </c>
      <c r="D55" s="299">
        <f>D18*((SUM($C$7:C17)))</f>
        <v>2852</v>
      </c>
      <c r="E55" s="299">
        <f>E18*((SUM($C$7:D17)))</f>
        <v>6250</v>
      </c>
      <c r="F55" s="299">
        <f>F18*((SUM($C$7:E17)))</f>
        <v>0</v>
      </c>
      <c r="G55" s="299">
        <f>G18*((SUM($C$7:F17)))</f>
        <v>0</v>
      </c>
      <c r="H55" s="299">
        <f>H18*((SUM($C$7:G17)))</f>
        <v>0</v>
      </c>
      <c r="I55" s="299">
        <f>I18*((SUM($C$7:H17)))</f>
        <v>0</v>
      </c>
      <c r="J55" s="299">
        <f>J18*((SUM($C$7:I17)))</f>
        <v>0</v>
      </c>
      <c r="K55" s="299">
        <f>K18*((SUM($C$7:J17)))</f>
        <v>0</v>
      </c>
      <c r="L55" s="299">
        <f>L18*((SUM($C$7:K17)))</f>
        <v>0</v>
      </c>
      <c r="M55" s="299">
        <f>M18*((SUM($C$7:L17)))</f>
        <v>0</v>
      </c>
      <c r="N55" s="300">
        <f>N18*((SUM($C$7:M17)))</f>
        <v>0</v>
      </c>
    </row>
    <row r="56" spans="1:16" ht="12.75">
      <c r="A56" s="29"/>
      <c r="B56" t="s">
        <v>37</v>
      </c>
      <c r="H56" s="363">
        <f>0.5*(SUM(C44:N55))</f>
        <v>3078261</v>
      </c>
      <c r="I56" s="363"/>
      <c r="J56" s="363"/>
      <c r="P56" s="159"/>
    </row>
    <row r="58" ht="13.5" thickBot="1">
      <c r="A58" s="25" t="s">
        <v>25</v>
      </c>
    </row>
    <row r="59" spans="1:14" ht="13.5" thickBot="1">
      <c r="A59" s="29"/>
      <c r="B59" s="30"/>
      <c r="C59" s="31">
        <v>1</v>
      </c>
      <c r="D59" s="32">
        <f aca="true" t="shared" si="7" ref="D59:N59">C59+1</f>
        <v>2</v>
      </c>
      <c r="E59" s="32">
        <f t="shared" si="7"/>
        <v>3</v>
      </c>
      <c r="F59" s="32">
        <f t="shared" si="7"/>
        <v>4</v>
      </c>
      <c r="G59" s="32">
        <f t="shared" si="7"/>
        <v>5</v>
      </c>
      <c r="H59" s="32">
        <f t="shared" si="7"/>
        <v>6</v>
      </c>
      <c r="I59" s="32">
        <f t="shared" si="7"/>
        <v>7</v>
      </c>
      <c r="J59" s="32">
        <f t="shared" si="7"/>
        <v>8</v>
      </c>
      <c r="K59" s="32">
        <f t="shared" si="7"/>
        <v>9</v>
      </c>
      <c r="L59" s="32">
        <f t="shared" si="7"/>
        <v>10</v>
      </c>
      <c r="M59" s="32">
        <f t="shared" si="7"/>
        <v>11</v>
      </c>
      <c r="N59" s="33">
        <f t="shared" si="7"/>
        <v>12</v>
      </c>
    </row>
    <row r="60" spans="1:14" ht="12.75">
      <c r="A60" s="29"/>
      <c r="B60" s="35">
        <f>'Excerpt WDH'!$B39</f>
      </c>
      <c r="C60" s="293">
        <f aca="true" t="shared" si="8" ref="C60:N60">C7*(C$19-C7)</f>
        <v>0</v>
      </c>
      <c r="D60" s="294">
        <f t="shared" si="8"/>
        <v>0</v>
      </c>
      <c r="E60" s="294">
        <f t="shared" si="8"/>
        <v>0</v>
      </c>
      <c r="F60" s="294">
        <f t="shared" si="8"/>
        <v>0</v>
      </c>
      <c r="G60" s="294">
        <f t="shared" si="8"/>
        <v>0</v>
      </c>
      <c r="H60" s="294">
        <f t="shared" si="8"/>
        <v>0</v>
      </c>
      <c r="I60" s="294">
        <f t="shared" si="8"/>
        <v>0</v>
      </c>
      <c r="J60" s="294">
        <f t="shared" si="8"/>
        <v>0</v>
      </c>
      <c r="K60" s="294">
        <f t="shared" si="8"/>
        <v>0</v>
      </c>
      <c r="L60" s="294">
        <f t="shared" si="8"/>
        <v>0</v>
      </c>
      <c r="M60" s="294">
        <f t="shared" si="8"/>
        <v>0</v>
      </c>
      <c r="N60" s="301">
        <f t="shared" si="8"/>
        <v>0</v>
      </c>
    </row>
    <row r="61" spans="1:14" ht="12.75">
      <c r="A61" s="29"/>
      <c r="B61" s="35">
        <f>'Excerpt WDH'!$B40</f>
        <v>10</v>
      </c>
      <c r="C61" s="295">
        <f aca="true" t="shared" si="9" ref="C61:N61">C8*(C$19-C8)</f>
        <v>307447</v>
      </c>
      <c r="D61" s="296">
        <f t="shared" si="9"/>
        <v>314390</v>
      </c>
      <c r="E61" s="296">
        <f t="shared" si="9"/>
        <v>220533</v>
      </c>
      <c r="F61" s="296">
        <f t="shared" si="9"/>
        <v>0</v>
      </c>
      <c r="G61" s="296">
        <f t="shared" si="9"/>
        <v>0</v>
      </c>
      <c r="H61" s="296">
        <f t="shared" si="9"/>
        <v>0</v>
      </c>
      <c r="I61" s="296">
        <f t="shared" si="9"/>
        <v>0</v>
      </c>
      <c r="J61" s="296">
        <f t="shared" si="9"/>
        <v>0</v>
      </c>
      <c r="K61" s="296">
        <f t="shared" si="9"/>
        <v>0</v>
      </c>
      <c r="L61" s="296">
        <f t="shared" si="9"/>
        <v>0</v>
      </c>
      <c r="M61" s="296">
        <f t="shared" si="9"/>
        <v>0</v>
      </c>
      <c r="N61" s="297">
        <f t="shared" si="9"/>
        <v>0</v>
      </c>
    </row>
    <row r="62" spans="1:14" ht="12.75">
      <c r="A62" s="29"/>
      <c r="B62" s="35">
        <f>'Excerpt WDH'!$B41</f>
        <v>9</v>
      </c>
      <c r="C62" s="295">
        <f aca="true" t="shared" si="10" ref="C62:N62">C9*(C$19-C9)</f>
        <v>383056</v>
      </c>
      <c r="D62" s="296">
        <f t="shared" si="10"/>
        <v>566930</v>
      </c>
      <c r="E62" s="296">
        <f t="shared" si="10"/>
        <v>422805</v>
      </c>
      <c r="F62" s="296">
        <f t="shared" si="10"/>
        <v>0</v>
      </c>
      <c r="G62" s="296">
        <f t="shared" si="10"/>
        <v>0</v>
      </c>
      <c r="H62" s="296">
        <f t="shared" si="10"/>
        <v>0</v>
      </c>
      <c r="I62" s="296">
        <f t="shared" si="10"/>
        <v>0</v>
      </c>
      <c r="J62" s="296">
        <f t="shared" si="10"/>
        <v>0</v>
      </c>
      <c r="K62" s="296">
        <f t="shared" si="10"/>
        <v>0</v>
      </c>
      <c r="L62" s="296">
        <f t="shared" si="10"/>
        <v>0</v>
      </c>
      <c r="M62" s="296">
        <f t="shared" si="10"/>
        <v>0</v>
      </c>
      <c r="N62" s="297">
        <f t="shared" si="10"/>
        <v>0</v>
      </c>
    </row>
    <row r="63" spans="1:14" ht="12.75">
      <c r="A63" s="29"/>
      <c r="B63" s="35">
        <f>'Excerpt WDH'!$B42</f>
        <v>8</v>
      </c>
      <c r="C63" s="295">
        <f aca="true" t="shared" si="11" ref="C63:N63">C10*(C$19-C10)</f>
        <v>418407</v>
      </c>
      <c r="D63" s="296">
        <f t="shared" si="11"/>
        <v>654444</v>
      </c>
      <c r="E63" s="296">
        <f t="shared" si="11"/>
        <v>540885</v>
      </c>
      <c r="F63" s="296">
        <f t="shared" si="11"/>
        <v>0</v>
      </c>
      <c r="G63" s="296">
        <f t="shared" si="11"/>
        <v>0</v>
      </c>
      <c r="H63" s="296">
        <f t="shared" si="11"/>
        <v>0</v>
      </c>
      <c r="I63" s="296">
        <f t="shared" si="11"/>
        <v>0</v>
      </c>
      <c r="J63" s="296">
        <f t="shared" si="11"/>
        <v>0</v>
      </c>
      <c r="K63" s="296">
        <f t="shared" si="11"/>
        <v>0</v>
      </c>
      <c r="L63" s="296">
        <f t="shared" si="11"/>
        <v>0</v>
      </c>
      <c r="M63" s="296">
        <f t="shared" si="11"/>
        <v>0</v>
      </c>
      <c r="N63" s="297">
        <f t="shared" si="11"/>
        <v>0</v>
      </c>
    </row>
    <row r="64" spans="1:14" ht="12.75">
      <c r="A64" s="29"/>
      <c r="B64" s="35">
        <f>'Excerpt WDH'!$B43</f>
        <v>7</v>
      </c>
      <c r="C64" s="295">
        <f aca="true" t="shared" si="12" ref="C64:N64">C11*(C$19-C11)</f>
        <v>266640</v>
      </c>
      <c r="D64" s="296">
        <f t="shared" si="12"/>
        <v>430128</v>
      </c>
      <c r="E64" s="296">
        <f t="shared" si="12"/>
        <v>390504</v>
      </c>
      <c r="F64" s="296">
        <f t="shared" si="12"/>
        <v>0</v>
      </c>
      <c r="G64" s="296">
        <f t="shared" si="12"/>
        <v>0</v>
      </c>
      <c r="H64" s="296">
        <f t="shared" si="12"/>
        <v>0</v>
      </c>
      <c r="I64" s="296">
        <f t="shared" si="12"/>
        <v>0</v>
      </c>
      <c r="J64" s="296">
        <f t="shared" si="12"/>
        <v>0</v>
      </c>
      <c r="K64" s="296">
        <f t="shared" si="12"/>
        <v>0</v>
      </c>
      <c r="L64" s="296">
        <f t="shared" si="12"/>
        <v>0</v>
      </c>
      <c r="M64" s="296">
        <f t="shared" si="12"/>
        <v>0</v>
      </c>
      <c r="N64" s="297">
        <f t="shared" si="12"/>
        <v>0</v>
      </c>
    </row>
    <row r="65" spans="1:14" ht="12.75">
      <c r="A65" s="29"/>
      <c r="B65" s="35">
        <f>'Excerpt WDH'!$B44</f>
        <v>6</v>
      </c>
      <c r="C65" s="295">
        <f aca="true" t="shared" si="13" ref="C65:N65">C12*(C$19-C12)</f>
        <v>99207</v>
      </c>
      <c r="D65" s="296">
        <f t="shared" si="13"/>
        <v>106340</v>
      </c>
      <c r="E65" s="296">
        <f t="shared" si="13"/>
        <v>151305</v>
      </c>
      <c r="F65" s="296">
        <f t="shared" si="13"/>
        <v>0</v>
      </c>
      <c r="G65" s="296">
        <f t="shared" si="13"/>
        <v>0</v>
      </c>
      <c r="H65" s="296">
        <f t="shared" si="13"/>
        <v>0</v>
      </c>
      <c r="I65" s="296">
        <f t="shared" si="13"/>
        <v>0</v>
      </c>
      <c r="J65" s="296">
        <f t="shared" si="13"/>
        <v>0</v>
      </c>
      <c r="K65" s="296">
        <f t="shared" si="13"/>
        <v>0</v>
      </c>
      <c r="L65" s="296">
        <f t="shared" si="13"/>
        <v>0</v>
      </c>
      <c r="M65" s="296">
        <f t="shared" si="13"/>
        <v>0</v>
      </c>
      <c r="N65" s="297">
        <f t="shared" si="13"/>
        <v>0</v>
      </c>
    </row>
    <row r="66" spans="1:14" ht="12.75">
      <c r="A66" s="29"/>
      <c r="B66" s="35">
        <f>'Excerpt WDH'!$B45</f>
        <v>5</v>
      </c>
      <c r="C66" s="295">
        <f aca="true" t="shared" si="14" ref="C66:N66">C13*(C$19-C13)</f>
        <v>97920</v>
      </c>
      <c r="D66" s="296">
        <f t="shared" si="14"/>
        <v>88938</v>
      </c>
      <c r="E66" s="296">
        <f t="shared" si="14"/>
        <v>79129</v>
      </c>
      <c r="F66" s="296">
        <f t="shared" si="14"/>
        <v>0</v>
      </c>
      <c r="G66" s="296">
        <f t="shared" si="14"/>
        <v>0</v>
      </c>
      <c r="H66" s="296">
        <f t="shared" si="14"/>
        <v>0</v>
      </c>
      <c r="I66" s="296">
        <f t="shared" si="14"/>
        <v>0</v>
      </c>
      <c r="J66" s="296">
        <f t="shared" si="14"/>
        <v>0</v>
      </c>
      <c r="K66" s="296">
        <f t="shared" si="14"/>
        <v>0</v>
      </c>
      <c r="L66" s="296">
        <f t="shared" si="14"/>
        <v>0</v>
      </c>
      <c r="M66" s="296">
        <f t="shared" si="14"/>
        <v>0</v>
      </c>
      <c r="N66" s="297">
        <f t="shared" si="14"/>
        <v>0</v>
      </c>
    </row>
    <row r="67" spans="1:14" ht="12.75">
      <c r="A67" s="29"/>
      <c r="B67" s="35">
        <f>'Excerpt WDH'!$B46</f>
        <v>4</v>
      </c>
      <c r="C67" s="295">
        <f aca="true" t="shared" si="15" ref="C67:N67">C14*(C$19-C14)</f>
        <v>22656</v>
      </c>
      <c r="D67" s="296">
        <f t="shared" si="15"/>
        <v>16910</v>
      </c>
      <c r="E67" s="296">
        <f t="shared" si="15"/>
        <v>16885</v>
      </c>
      <c r="F67" s="296">
        <f t="shared" si="15"/>
        <v>0</v>
      </c>
      <c r="G67" s="296">
        <f t="shared" si="15"/>
        <v>0</v>
      </c>
      <c r="H67" s="296">
        <f t="shared" si="15"/>
        <v>0</v>
      </c>
      <c r="I67" s="296">
        <f t="shared" si="15"/>
        <v>0</v>
      </c>
      <c r="J67" s="296">
        <f t="shared" si="15"/>
        <v>0</v>
      </c>
      <c r="K67" s="296">
        <f t="shared" si="15"/>
        <v>0</v>
      </c>
      <c r="L67" s="296">
        <f t="shared" si="15"/>
        <v>0</v>
      </c>
      <c r="M67" s="296">
        <f t="shared" si="15"/>
        <v>0</v>
      </c>
      <c r="N67" s="297">
        <f t="shared" si="15"/>
        <v>0</v>
      </c>
    </row>
    <row r="68" spans="1:14" ht="12.75">
      <c r="A68" s="29"/>
      <c r="B68" s="35">
        <f>'Excerpt WDH'!$B47</f>
        <v>3</v>
      </c>
      <c r="C68" s="295">
        <f aca="true" t="shared" si="16" ref="C68:N68">C15*(C$19-C15)</f>
        <v>14220</v>
      </c>
      <c r="D68" s="296">
        <f t="shared" si="16"/>
        <v>5094</v>
      </c>
      <c r="E68" s="296">
        <f t="shared" si="16"/>
        <v>4629</v>
      </c>
      <c r="F68" s="296">
        <f t="shared" si="16"/>
        <v>0</v>
      </c>
      <c r="G68" s="296">
        <f t="shared" si="16"/>
        <v>0</v>
      </c>
      <c r="H68" s="296">
        <f t="shared" si="16"/>
        <v>0</v>
      </c>
      <c r="I68" s="296">
        <f t="shared" si="16"/>
        <v>0</v>
      </c>
      <c r="J68" s="296">
        <f t="shared" si="16"/>
        <v>0</v>
      </c>
      <c r="K68" s="296">
        <f t="shared" si="16"/>
        <v>0</v>
      </c>
      <c r="L68" s="296">
        <f t="shared" si="16"/>
        <v>0</v>
      </c>
      <c r="M68" s="296">
        <f t="shared" si="16"/>
        <v>0</v>
      </c>
      <c r="N68" s="297">
        <f t="shared" si="16"/>
        <v>0</v>
      </c>
    </row>
    <row r="69" spans="1:14" ht="12.75">
      <c r="A69" s="29"/>
      <c r="B69" s="35">
        <f>'Excerpt WDH'!$B48</f>
        <v>2</v>
      </c>
      <c r="C69" s="295">
        <f aca="true" t="shared" si="17" ref="C69:N69">C16*(C$19-C16)</f>
        <v>8556</v>
      </c>
      <c r="D69" s="296">
        <f t="shared" si="17"/>
        <v>3398</v>
      </c>
      <c r="E69" s="296">
        <f t="shared" si="17"/>
        <v>7705</v>
      </c>
      <c r="F69" s="296">
        <f t="shared" si="17"/>
        <v>0</v>
      </c>
      <c r="G69" s="296">
        <f t="shared" si="17"/>
        <v>0</v>
      </c>
      <c r="H69" s="296">
        <f t="shared" si="17"/>
        <v>0</v>
      </c>
      <c r="I69" s="296">
        <f t="shared" si="17"/>
        <v>0</v>
      </c>
      <c r="J69" s="296">
        <f t="shared" si="17"/>
        <v>0</v>
      </c>
      <c r="K69" s="296">
        <f t="shared" si="17"/>
        <v>0</v>
      </c>
      <c r="L69" s="296">
        <f t="shared" si="17"/>
        <v>0</v>
      </c>
      <c r="M69" s="296">
        <f t="shared" si="17"/>
        <v>0</v>
      </c>
      <c r="N69" s="297">
        <f t="shared" si="17"/>
        <v>0</v>
      </c>
    </row>
    <row r="70" spans="1:14" ht="12.75">
      <c r="A70" s="29"/>
      <c r="B70" s="35">
        <f>'Excerpt WDH'!$B49</f>
        <v>1</v>
      </c>
      <c r="C70" s="295">
        <f aca="true" t="shared" si="18" ref="C70:N70">C17*(C$19-C17)</f>
        <v>1431</v>
      </c>
      <c r="D70" s="296">
        <f t="shared" si="18"/>
        <v>3398</v>
      </c>
      <c r="E70" s="296">
        <f t="shared" si="18"/>
        <v>0</v>
      </c>
      <c r="F70" s="296">
        <f t="shared" si="18"/>
        <v>0</v>
      </c>
      <c r="G70" s="296">
        <f t="shared" si="18"/>
        <v>0</v>
      </c>
      <c r="H70" s="296">
        <f t="shared" si="18"/>
        <v>0</v>
      </c>
      <c r="I70" s="296">
        <f t="shared" si="18"/>
        <v>0</v>
      </c>
      <c r="J70" s="296">
        <f t="shared" si="18"/>
        <v>0</v>
      </c>
      <c r="K70" s="296">
        <f t="shared" si="18"/>
        <v>0</v>
      </c>
      <c r="L70" s="296">
        <f t="shared" si="18"/>
        <v>0</v>
      </c>
      <c r="M70" s="296">
        <f t="shared" si="18"/>
        <v>0</v>
      </c>
      <c r="N70" s="297">
        <f t="shared" si="18"/>
        <v>0</v>
      </c>
    </row>
    <row r="71" spans="1:14" ht="13.5" thickBot="1">
      <c r="A71" s="29"/>
      <c r="B71" s="36">
        <f>'Excerpt WDH'!$B50</f>
        <v>0</v>
      </c>
      <c r="C71" s="298">
        <f aca="true" t="shared" si="19" ref="C71:N71">C18*(C$19-C18)</f>
        <v>8556</v>
      </c>
      <c r="D71" s="299">
        <f t="shared" si="19"/>
        <v>3398</v>
      </c>
      <c r="E71" s="299">
        <f t="shared" si="19"/>
        <v>3088</v>
      </c>
      <c r="F71" s="299">
        <f t="shared" si="19"/>
        <v>0</v>
      </c>
      <c r="G71" s="299">
        <f t="shared" si="19"/>
        <v>0</v>
      </c>
      <c r="H71" s="299">
        <f t="shared" si="19"/>
        <v>0</v>
      </c>
      <c r="I71" s="299">
        <f t="shared" si="19"/>
        <v>0</v>
      </c>
      <c r="J71" s="299">
        <f t="shared" si="19"/>
        <v>0</v>
      </c>
      <c r="K71" s="299">
        <f t="shared" si="19"/>
        <v>0</v>
      </c>
      <c r="L71" s="299">
        <f t="shared" si="19"/>
        <v>0</v>
      </c>
      <c r="M71" s="299">
        <f t="shared" si="19"/>
        <v>0</v>
      </c>
      <c r="N71" s="300">
        <f t="shared" si="19"/>
        <v>0</v>
      </c>
    </row>
    <row r="72" spans="2:16" ht="12.75">
      <c r="B72" s="147" t="s">
        <v>38</v>
      </c>
      <c r="C72" s="147"/>
      <c r="D72" s="147"/>
      <c r="E72" s="147"/>
      <c r="F72" s="147"/>
      <c r="G72" s="364">
        <f>0.5*(SUM(C60:N71))</f>
        <v>2829466</v>
      </c>
      <c r="H72" s="364"/>
      <c r="I72" s="364"/>
      <c r="J72" s="147"/>
      <c r="K72" s="147"/>
      <c r="L72" s="147"/>
      <c r="M72" s="147"/>
      <c r="N72" s="147"/>
      <c r="P72" s="159"/>
    </row>
    <row r="74" ht="13.5" thickBot="1">
      <c r="A74" s="25" t="s">
        <v>26</v>
      </c>
    </row>
    <row r="75" spans="1:14" ht="13.5" thickBot="1">
      <c r="A75" s="29"/>
      <c r="B75" s="303"/>
      <c r="C75" s="31">
        <v>1</v>
      </c>
      <c r="D75" s="32">
        <f aca="true" t="shared" si="20" ref="D75:N75">C75+1</f>
        <v>2</v>
      </c>
      <c r="E75" s="32">
        <f t="shared" si="20"/>
        <v>3</v>
      </c>
      <c r="F75" s="32">
        <f t="shared" si="20"/>
        <v>4</v>
      </c>
      <c r="G75" s="32">
        <f t="shared" si="20"/>
        <v>5</v>
      </c>
      <c r="H75" s="32">
        <f t="shared" si="20"/>
        <v>6</v>
      </c>
      <c r="I75" s="32">
        <f t="shared" si="20"/>
        <v>7</v>
      </c>
      <c r="J75" s="32">
        <f t="shared" si="20"/>
        <v>8</v>
      </c>
      <c r="K75" s="32">
        <f t="shared" si="20"/>
        <v>9</v>
      </c>
      <c r="L75" s="32">
        <f t="shared" si="20"/>
        <v>10</v>
      </c>
      <c r="M75" s="32">
        <f t="shared" si="20"/>
        <v>11</v>
      </c>
      <c r="N75" s="33">
        <f t="shared" si="20"/>
        <v>12</v>
      </c>
    </row>
    <row r="76" spans="1:14" ht="12.75">
      <c r="A76" s="29"/>
      <c r="B76" s="264">
        <f>'Excerpt WDH'!$B39</f>
      </c>
      <c r="C76" s="293">
        <f aca="true" t="shared" si="21" ref="C76:N76">C7*($O7-C7)</f>
        <v>0</v>
      </c>
      <c r="D76" s="294">
        <f t="shared" si="21"/>
        <v>0</v>
      </c>
      <c r="E76" s="294">
        <f t="shared" si="21"/>
        <v>0</v>
      </c>
      <c r="F76" s="294">
        <f t="shared" si="21"/>
        <v>0</v>
      </c>
      <c r="G76" s="294">
        <f t="shared" si="21"/>
        <v>0</v>
      </c>
      <c r="H76" s="294">
        <f t="shared" si="21"/>
        <v>0</v>
      </c>
      <c r="I76" s="294">
        <f t="shared" si="21"/>
        <v>0</v>
      </c>
      <c r="J76" s="294">
        <f t="shared" si="21"/>
        <v>0</v>
      </c>
      <c r="K76" s="294">
        <f t="shared" si="21"/>
        <v>0</v>
      </c>
      <c r="L76" s="294">
        <f t="shared" si="21"/>
        <v>0</v>
      </c>
      <c r="M76" s="294">
        <f t="shared" si="21"/>
        <v>0</v>
      </c>
      <c r="N76" s="301">
        <f t="shared" si="21"/>
        <v>0</v>
      </c>
    </row>
    <row r="77" spans="1:14" ht="12.75">
      <c r="A77" s="29"/>
      <c r="B77" s="264">
        <f>'Excerpt WDH'!$B40</f>
        <v>10</v>
      </c>
      <c r="C77" s="295">
        <f aca="true" t="shared" si="22" ref="C77:N77">C8*($O8-C8)</f>
        <v>97310</v>
      </c>
      <c r="D77" s="296">
        <f t="shared" si="22"/>
        <v>89042</v>
      </c>
      <c r="E77" s="296">
        <f t="shared" si="22"/>
        <v>75366</v>
      </c>
      <c r="F77" s="296">
        <f t="shared" si="22"/>
        <v>0</v>
      </c>
      <c r="G77" s="296">
        <f t="shared" si="22"/>
        <v>0</v>
      </c>
      <c r="H77" s="296">
        <f t="shared" si="22"/>
        <v>0</v>
      </c>
      <c r="I77" s="296">
        <f t="shared" si="22"/>
        <v>0</v>
      </c>
      <c r="J77" s="296">
        <f t="shared" si="22"/>
        <v>0</v>
      </c>
      <c r="K77" s="296">
        <f t="shared" si="22"/>
        <v>0</v>
      </c>
      <c r="L77" s="296">
        <f t="shared" si="22"/>
        <v>0</v>
      </c>
      <c r="M77" s="296">
        <f t="shared" si="22"/>
        <v>0</v>
      </c>
      <c r="N77" s="297">
        <f t="shared" si="22"/>
        <v>0</v>
      </c>
    </row>
    <row r="78" spans="1:14" ht="12.75">
      <c r="A78" s="29"/>
      <c r="B78" s="264">
        <f>'Excerpt WDH'!$B41</f>
        <v>9</v>
      </c>
      <c r="C78" s="295">
        <f aca="true" t="shared" si="23" ref="C78:N78">C9*($O9-C9)</f>
        <v>288360</v>
      </c>
      <c r="D78" s="296">
        <f t="shared" si="23"/>
        <v>323505</v>
      </c>
      <c r="E78" s="296">
        <f t="shared" si="23"/>
        <v>287905</v>
      </c>
      <c r="F78" s="296">
        <f t="shared" si="23"/>
        <v>0</v>
      </c>
      <c r="G78" s="296">
        <f t="shared" si="23"/>
        <v>0</v>
      </c>
      <c r="H78" s="296">
        <f t="shared" si="23"/>
        <v>0</v>
      </c>
      <c r="I78" s="296">
        <f t="shared" si="23"/>
        <v>0</v>
      </c>
      <c r="J78" s="296">
        <f t="shared" si="23"/>
        <v>0</v>
      </c>
      <c r="K78" s="296">
        <f t="shared" si="23"/>
        <v>0</v>
      </c>
      <c r="L78" s="296">
        <f t="shared" si="23"/>
        <v>0</v>
      </c>
      <c r="M78" s="296">
        <f t="shared" si="23"/>
        <v>0</v>
      </c>
      <c r="N78" s="297">
        <f t="shared" si="23"/>
        <v>0</v>
      </c>
    </row>
    <row r="79" spans="1:14" ht="12.75">
      <c r="A79" s="29"/>
      <c r="B79" s="264">
        <f>'Excerpt WDH'!$B42</f>
        <v>8</v>
      </c>
      <c r="C79" s="295">
        <f aca="true" t="shared" si="24" ref="C79:N79">C10*($O10-C10)</f>
        <v>459307</v>
      </c>
      <c r="D79" s="296">
        <f t="shared" si="24"/>
        <v>555072</v>
      </c>
      <c r="E79" s="296">
        <f t="shared" si="24"/>
        <v>533395</v>
      </c>
      <c r="F79" s="296">
        <f t="shared" si="24"/>
        <v>0</v>
      </c>
      <c r="G79" s="296">
        <f t="shared" si="24"/>
        <v>0</v>
      </c>
      <c r="H79" s="296">
        <f t="shared" si="24"/>
        <v>0</v>
      </c>
      <c r="I79" s="296">
        <f t="shared" si="24"/>
        <v>0</v>
      </c>
      <c r="J79" s="296">
        <f t="shared" si="24"/>
        <v>0</v>
      </c>
      <c r="K79" s="296">
        <f t="shared" si="24"/>
        <v>0</v>
      </c>
      <c r="L79" s="296">
        <f t="shared" si="24"/>
        <v>0</v>
      </c>
      <c r="M79" s="296">
        <f t="shared" si="24"/>
        <v>0</v>
      </c>
      <c r="N79" s="297">
        <f t="shared" si="24"/>
        <v>0</v>
      </c>
    </row>
    <row r="80" spans="1:14" ht="12.75">
      <c r="A80" s="29"/>
      <c r="B80" s="264">
        <f>'Excerpt WDH'!$B43</f>
        <v>7</v>
      </c>
      <c r="C80" s="295">
        <f aca="true" t="shared" si="25" ref="C80:N80">C11*($O11-C11)</f>
        <v>137940</v>
      </c>
      <c r="D80" s="296">
        <f t="shared" si="25"/>
        <v>166242</v>
      </c>
      <c r="E80" s="296">
        <f t="shared" si="25"/>
        <v>168222</v>
      </c>
      <c r="F80" s="296">
        <f t="shared" si="25"/>
        <v>0</v>
      </c>
      <c r="G80" s="296">
        <f t="shared" si="25"/>
        <v>0</v>
      </c>
      <c r="H80" s="296">
        <f t="shared" si="25"/>
        <v>0</v>
      </c>
      <c r="I80" s="296">
        <f t="shared" si="25"/>
        <v>0</v>
      </c>
      <c r="J80" s="296">
        <f t="shared" si="25"/>
        <v>0</v>
      </c>
      <c r="K80" s="296">
        <f t="shared" si="25"/>
        <v>0</v>
      </c>
      <c r="L80" s="296">
        <f t="shared" si="25"/>
        <v>0</v>
      </c>
      <c r="M80" s="296">
        <f t="shared" si="25"/>
        <v>0</v>
      </c>
      <c r="N80" s="297">
        <f t="shared" si="25"/>
        <v>0</v>
      </c>
    </row>
    <row r="81" spans="1:14" ht="12.75">
      <c r="A81" s="29"/>
      <c r="B81" s="264">
        <f>'Excerpt WDH'!$B44</f>
        <v>6</v>
      </c>
      <c r="C81" s="295">
        <f aca="true" t="shared" si="26" ref="C81:N81">C12*($O12-C12)</f>
        <v>12410</v>
      </c>
      <c r="D81" s="296">
        <f t="shared" si="26"/>
        <v>11570</v>
      </c>
      <c r="E81" s="296">
        <f t="shared" si="26"/>
        <v>14490</v>
      </c>
      <c r="F81" s="296">
        <f t="shared" si="26"/>
        <v>0</v>
      </c>
      <c r="G81" s="296">
        <f t="shared" si="26"/>
        <v>0</v>
      </c>
      <c r="H81" s="296">
        <f t="shared" si="26"/>
        <v>0</v>
      </c>
      <c r="I81" s="296">
        <f t="shared" si="26"/>
        <v>0</v>
      </c>
      <c r="J81" s="296">
        <f t="shared" si="26"/>
        <v>0</v>
      </c>
      <c r="K81" s="296">
        <f t="shared" si="26"/>
        <v>0</v>
      </c>
      <c r="L81" s="296">
        <f t="shared" si="26"/>
        <v>0</v>
      </c>
      <c r="M81" s="296">
        <f t="shared" si="26"/>
        <v>0</v>
      </c>
      <c r="N81" s="297">
        <f t="shared" si="26"/>
        <v>0</v>
      </c>
    </row>
    <row r="82" spans="1:14" ht="12.75">
      <c r="A82" s="29"/>
      <c r="B82" s="264">
        <f>'Excerpt WDH'!$B45</f>
        <v>5</v>
      </c>
      <c r="C82" s="295">
        <f aca="true" t="shared" si="27" ref="C82:N82">C13*($O13-C13)</f>
        <v>7704</v>
      </c>
      <c r="D82" s="296">
        <f t="shared" si="27"/>
        <v>6750</v>
      </c>
      <c r="E82" s="296">
        <f t="shared" si="27"/>
        <v>6678</v>
      </c>
      <c r="F82" s="296">
        <f t="shared" si="27"/>
        <v>0</v>
      </c>
      <c r="G82" s="296">
        <f t="shared" si="27"/>
        <v>0</v>
      </c>
      <c r="H82" s="296">
        <f t="shared" si="27"/>
        <v>0</v>
      </c>
      <c r="I82" s="296">
        <f t="shared" si="27"/>
        <v>0</v>
      </c>
      <c r="J82" s="296">
        <f t="shared" si="27"/>
        <v>0</v>
      </c>
      <c r="K82" s="296">
        <f t="shared" si="27"/>
        <v>0</v>
      </c>
      <c r="L82" s="296">
        <f t="shared" si="27"/>
        <v>0</v>
      </c>
      <c r="M82" s="296">
        <f t="shared" si="27"/>
        <v>0</v>
      </c>
      <c r="N82" s="297">
        <f t="shared" si="27"/>
        <v>0</v>
      </c>
    </row>
    <row r="83" spans="1:14" ht="12.75">
      <c r="A83" s="29"/>
      <c r="B83" s="264">
        <f>'Excerpt WDH'!$B46</f>
        <v>4</v>
      </c>
      <c r="C83" s="295">
        <f aca="true" t="shared" si="28" ref="C83:N83">C14*($O14-C14)</f>
        <v>336</v>
      </c>
      <c r="D83" s="296">
        <f t="shared" si="28"/>
        <v>270</v>
      </c>
      <c r="E83" s="296">
        <f t="shared" si="28"/>
        <v>286</v>
      </c>
      <c r="F83" s="296">
        <f t="shared" si="28"/>
        <v>0</v>
      </c>
      <c r="G83" s="296">
        <f t="shared" si="28"/>
        <v>0</v>
      </c>
      <c r="H83" s="296">
        <f t="shared" si="28"/>
        <v>0</v>
      </c>
      <c r="I83" s="296">
        <f t="shared" si="28"/>
        <v>0</v>
      </c>
      <c r="J83" s="296">
        <f t="shared" si="28"/>
        <v>0</v>
      </c>
      <c r="K83" s="296">
        <f t="shared" si="28"/>
        <v>0</v>
      </c>
      <c r="L83" s="296">
        <f t="shared" si="28"/>
        <v>0</v>
      </c>
      <c r="M83" s="296">
        <f t="shared" si="28"/>
        <v>0</v>
      </c>
      <c r="N83" s="297">
        <f t="shared" si="28"/>
        <v>0</v>
      </c>
    </row>
    <row r="84" spans="1:14" ht="12.75">
      <c r="A84" s="29"/>
      <c r="B84" s="264">
        <f>'Excerpt WDH'!$B47</f>
        <v>3</v>
      </c>
      <c r="C84" s="295">
        <f aca="true" t="shared" si="29" ref="C84:N84">C15*($O15-C15)</f>
        <v>60</v>
      </c>
      <c r="D84" s="296">
        <f t="shared" si="29"/>
        <v>39</v>
      </c>
      <c r="E84" s="296">
        <f t="shared" si="29"/>
        <v>39</v>
      </c>
      <c r="F84" s="296">
        <f t="shared" si="29"/>
        <v>0</v>
      </c>
      <c r="G84" s="296">
        <f t="shared" si="29"/>
        <v>0</v>
      </c>
      <c r="H84" s="296">
        <f t="shared" si="29"/>
        <v>0</v>
      </c>
      <c r="I84" s="296">
        <f t="shared" si="29"/>
        <v>0</v>
      </c>
      <c r="J84" s="296">
        <f t="shared" si="29"/>
        <v>0</v>
      </c>
      <c r="K84" s="296">
        <f t="shared" si="29"/>
        <v>0</v>
      </c>
      <c r="L84" s="296">
        <f t="shared" si="29"/>
        <v>0</v>
      </c>
      <c r="M84" s="296">
        <f t="shared" si="29"/>
        <v>0</v>
      </c>
      <c r="N84" s="297">
        <f t="shared" si="29"/>
        <v>0</v>
      </c>
    </row>
    <row r="85" spans="1:14" ht="12.75">
      <c r="A85" s="29"/>
      <c r="B85" s="264">
        <f>'Excerpt WDH'!$B48</f>
        <v>2</v>
      </c>
      <c r="C85" s="295">
        <f aca="true" t="shared" si="30" ref="C85:N85">C16*($O16-C16)</f>
        <v>42</v>
      </c>
      <c r="D85" s="296">
        <f t="shared" si="30"/>
        <v>22</v>
      </c>
      <c r="E85" s="296">
        <f t="shared" si="30"/>
        <v>40</v>
      </c>
      <c r="F85" s="296">
        <f t="shared" si="30"/>
        <v>0</v>
      </c>
      <c r="G85" s="296">
        <f t="shared" si="30"/>
        <v>0</v>
      </c>
      <c r="H85" s="296">
        <f t="shared" si="30"/>
        <v>0</v>
      </c>
      <c r="I85" s="296">
        <f t="shared" si="30"/>
        <v>0</v>
      </c>
      <c r="J85" s="296">
        <f t="shared" si="30"/>
        <v>0</v>
      </c>
      <c r="K85" s="296">
        <f t="shared" si="30"/>
        <v>0</v>
      </c>
      <c r="L85" s="296">
        <f t="shared" si="30"/>
        <v>0</v>
      </c>
      <c r="M85" s="296">
        <f t="shared" si="30"/>
        <v>0</v>
      </c>
      <c r="N85" s="297">
        <f t="shared" si="30"/>
        <v>0</v>
      </c>
    </row>
    <row r="86" spans="1:14" ht="12.75">
      <c r="A86" s="29"/>
      <c r="B86" s="264">
        <f>'Excerpt WDH'!$B49</f>
        <v>1</v>
      </c>
      <c r="C86" s="295">
        <f aca="true" t="shared" si="31" ref="C86:N86">C17*($O17-C17)</f>
        <v>2</v>
      </c>
      <c r="D86" s="296">
        <f t="shared" si="31"/>
        <v>2</v>
      </c>
      <c r="E86" s="296">
        <f t="shared" si="31"/>
        <v>0</v>
      </c>
      <c r="F86" s="296">
        <f t="shared" si="31"/>
        <v>0</v>
      </c>
      <c r="G86" s="296">
        <f t="shared" si="31"/>
        <v>0</v>
      </c>
      <c r="H86" s="296">
        <f t="shared" si="31"/>
        <v>0</v>
      </c>
      <c r="I86" s="296">
        <f t="shared" si="31"/>
        <v>0</v>
      </c>
      <c r="J86" s="296">
        <f t="shared" si="31"/>
        <v>0</v>
      </c>
      <c r="K86" s="296">
        <f t="shared" si="31"/>
        <v>0</v>
      </c>
      <c r="L86" s="296">
        <f t="shared" si="31"/>
        <v>0</v>
      </c>
      <c r="M86" s="296">
        <f t="shared" si="31"/>
        <v>0</v>
      </c>
      <c r="N86" s="297">
        <f t="shared" si="31"/>
        <v>0</v>
      </c>
    </row>
    <row r="87" spans="1:14" ht="13.5" thickBot="1">
      <c r="A87" s="29"/>
      <c r="B87" s="265">
        <f>'Excerpt WDH'!$B50</f>
        <v>0</v>
      </c>
      <c r="C87" s="298">
        <f aca="true" t="shared" si="32" ref="C87:N87">C18*($O18-C18)</f>
        <v>24</v>
      </c>
      <c r="D87" s="299">
        <f t="shared" si="32"/>
        <v>16</v>
      </c>
      <c r="E87" s="299">
        <f t="shared" si="32"/>
        <v>16</v>
      </c>
      <c r="F87" s="299">
        <f t="shared" si="32"/>
        <v>0</v>
      </c>
      <c r="G87" s="299">
        <f t="shared" si="32"/>
        <v>0</v>
      </c>
      <c r="H87" s="299">
        <f t="shared" si="32"/>
        <v>0</v>
      </c>
      <c r="I87" s="299">
        <f t="shared" si="32"/>
        <v>0</v>
      </c>
      <c r="J87" s="299">
        <f t="shared" si="32"/>
        <v>0</v>
      </c>
      <c r="K87" s="299">
        <f t="shared" si="32"/>
        <v>0</v>
      </c>
      <c r="L87" s="299">
        <f t="shared" si="32"/>
        <v>0</v>
      </c>
      <c r="M87" s="299">
        <f t="shared" si="32"/>
        <v>0</v>
      </c>
      <c r="N87" s="300">
        <f t="shared" si="32"/>
        <v>0</v>
      </c>
    </row>
    <row r="88" spans="1:16" ht="12.75">
      <c r="A88" s="29"/>
      <c r="B88" t="s">
        <v>39</v>
      </c>
      <c r="G88" s="364">
        <f>0.5*(SUM(C76:N87))</f>
        <v>1621231</v>
      </c>
      <c r="H88" s="364"/>
      <c r="I88" s="364"/>
      <c r="P88" s="159"/>
    </row>
    <row r="91" ht="13.5" thickBot="1">
      <c r="A91" s="25" t="s">
        <v>27</v>
      </c>
    </row>
    <row r="92" spans="1:14" ht="13.5" thickBot="1">
      <c r="A92" s="29"/>
      <c r="B92" s="30"/>
      <c r="C92" s="31">
        <v>1</v>
      </c>
      <c r="D92" s="32">
        <f aca="true" t="shared" si="33" ref="D92:N92">C92+1</f>
        <v>2</v>
      </c>
      <c r="E92" s="32">
        <f t="shared" si="33"/>
        <v>3</v>
      </c>
      <c r="F92" s="32">
        <f t="shared" si="33"/>
        <v>4</v>
      </c>
      <c r="G92" s="32">
        <f t="shared" si="33"/>
        <v>5</v>
      </c>
      <c r="H92" s="32">
        <f t="shared" si="33"/>
        <v>6</v>
      </c>
      <c r="I92" s="32">
        <f t="shared" si="33"/>
        <v>7</v>
      </c>
      <c r="J92" s="32">
        <f t="shared" si="33"/>
        <v>8</v>
      </c>
      <c r="K92" s="32">
        <f t="shared" si="33"/>
        <v>9</v>
      </c>
      <c r="L92" s="32">
        <f t="shared" si="33"/>
        <v>10</v>
      </c>
      <c r="M92" s="32">
        <f t="shared" si="33"/>
        <v>11</v>
      </c>
      <c r="N92" s="33">
        <f t="shared" si="33"/>
        <v>12</v>
      </c>
    </row>
    <row r="93" spans="1:14" ht="12.75">
      <c r="A93" s="29"/>
      <c r="B93" s="35">
        <f>'Excerpt WDH'!$B39</f>
      </c>
      <c r="C93" s="293">
        <f aca="true" t="shared" si="34" ref="C93:N93">IF(C7&lt;1.5,0,(C7-1)*C7)</f>
        <v>0</v>
      </c>
      <c r="D93" s="294">
        <f t="shared" si="34"/>
        <v>0</v>
      </c>
      <c r="E93" s="294">
        <f t="shared" si="34"/>
        <v>0</v>
      </c>
      <c r="F93" s="294">
        <f t="shared" si="34"/>
        <v>0</v>
      </c>
      <c r="G93" s="294">
        <f t="shared" si="34"/>
        <v>0</v>
      </c>
      <c r="H93" s="294">
        <f t="shared" si="34"/>
        <v>0</v>
      </c>
      <c r="I93" s="294">
        <f t="shared" si="34"/>
        <v>0</v>
      </c>
      <c r="J93" s="294">
        <f t="shared" si="34"/>
        <v>0</v>
      </c>
      <c r="K93" s="294">
        <f t="shared" si="34"/>
        <v>0</v>
      </c>
      <c r="L93" s="294">
        <f t="shared" si="34"/>
        <v>0</v>
      </c>
      <c r="M93" s="294">
        <f t="shared" si="34"/>
        <v>0</v>
      </c>
      <c r="N93" s="301">
        <f t="shared" si="34"/>
        <v>0</v>
      </c>
    </row>
    <row r="94" spans="1:14" ht="12.75">
      <c r="A94" s="29"/>
      <c r="B94" s="35">
        <f>'Excerpt WDH'!$B40</f>
        <v>10</v>
      </c>
      <c r="C94" s="295">
        <f aca="true" t="shared" si="35" ref="C94:N94">IF(C8&lt;1.5,0,(C8-1)*C8)</f>
        <v>68906</v>
      </c>
      <c r="D94" s="296">
        <f t="shared" si="35"/>
        <v>44310</v>
      </c>
      <c r="E94" s="296">
        <f t="shared" si="35"/>
        <v>25122</v>
      </c>
      <c r="F94" s="296">
        <f t="shared" si="35"/>
        <v>0</v>
      </c>
      <c r="G94" s="296">
        <f t="shared" si="35"/>
        <v>0</v>
      </c>
      <c r="H94" s="296">
        <f t="shared" si="35"/>
        <v>0</v>
      </c>
      <c r="I94" s="296">
        <f t="shared" si="35"/>
        <v>0</v>
      </c>
      <c r="J94" s="296">
        <f t="shared" si="35"/>
        <v>0</v>
      </c>
      <c r="K94" s="296">
        <f t="shared" si="35"/>
        <v>0</v>
      </c>
      <c r="L94" s="296">
        <f t="shared" si="35"/>
        <v>0</v>
      </c>
      <c r="M94" s="296">
        <f t="shared" si="35"/>
        <v>0</v>
      </c>
      <c r="N94" s="297">
        <f t="shared" si="35"/>
        <v>0</v>
      </c>
    </row>
    <row r="95" spans="1:14" ht="12.75">
      <c r="A95" s="29"/>
      <c r="B95" s="35">
        <f>'Excerpt WDH'!$B41</f>
        <v>9</v>
      </c>
      <c r="C95" s="295">
        <f aca="true" t="shared" si="36" ref="C95:N95">IF(C9&lt;1.5,0,(C9-1)*C9)</f>
        <v>126380</v>
      </c>
      <c r="D95" s="296">
        <f t="shared" si="36"/>
        <v>206570</v>
      </c>
      <c r="E95" s="296">
        <f t="shared" si="36"/>
        <v>125670</v>
      </c>
      <c r="F95" s="296">
        <f t="shared" si="36"/>
        <v>0</v>
      </c>
      <c r="G95" s="296">
        <f t="shared" si="36"/>
        <v>0</v>
      </c>
      <c r="H95" s="296">
        <f t="shared" si="36"/>
        <v>0</v>
      </c>
      <c r="I95" s="296">
        <f t="shared" si="36"/>
        <v>0</v>
      </c>
      <c r="J95" s="296">
        <f t="shared" si="36"/>
        <v>0</v>
      </c>
      <c r="K95" s="296">
        <f t="shared" si="36"/>
        <v>0</v>
      </c>
      <c r="L95" s="296">
        <f t="shared" si="36"/>
        <v>0</v>
      </c>
      <c r="M95" s="296">
        <f t="shared" si="36"/>
        <v>0</v>
      </c>
      <c r="N95" s="297">
        <f t="shared" si="36"/>
        <v>0</v>
      </c>
    </row>
    <row r="96" spans="1:14" ht="12.75">
      <c r="A96" s="29"/>
      <c r="B96" s="35">
        <f>'Excerpt WDH'!$B42</f>
        <v>8</v>
      </c>
      <c r="C96" s="295">
        <f aca="true" t="shared" si="37" ref="C96:N96">IF(C10&lt;1.5,0,(C10-1)*C10)</f>
        <v>166872</v>
      </c>
      <c r="D96" s="296">
        <f t="shared" si="37"/>
        <v>345156</v>
      </c>
      <c r="E96" s="296">
        <f t="shared" si="37"/>
        <v>285690</v>
      </c>
      <c r="F96" s="296">
        <f t="shared" si="37"/>
        <v>0</v>
      </c>
      <c r="G96" s="296">
        <f t="shared" si="37"/>
        <v>0</v>
      </c>
      <c r="H96" s="296">
        <f t="shared" si="37"/>
        <v>0</v>
      </c>
      <c r="I96" s="296">
        <f t="shared" si="37"/>
        <v>0</v>
      </c>
      <c r="J96" s="296">
        <f t="shared" si="37"/>
        <v>0</v>
      </c>
      <c r="K96" s="296">
        <f t="shared" si="37"/>
        <v>0</v>
      </c>
      <c r="L96" s="296">
        <f t="shared" si="37"/>
        <v>0</v>
      </c>
      <c r="M96" s="296">
        <f t="shared" si="37"/>
        <v>0</v>
      </c>
      <c r="N96" s="297">
        <f t="shared" si="37"/>
        <v>0</v>
      </c>
    </row>
    <row r="97" spans="1:14" ht="12.75">
      <c r="A97" s="29"/>
      <c r="B97" s="35">
        <f>'Excerpt WDH'!$B43</f>
        <v>7</v>
      </c>
      <c r="C97" s="295">
        <f aca="true" t="shared" si="38" ref="C97:N97">IF(C11&lt;1.5,0,(C11-1)*C11)</f>
        <v>48180</v>
      </c>
      <c r="D97" s="296">
        <f t="shared" si="38"/>
        <v>95172</v>
      </c>
      <c r="E97" s="296">
        <f t="shared" si="38"/>
        <v>100806</v>
      </c>
      <c r="F97" s="296">
        <f t="shared" si="38"/>
        <v>0</v>
      </c>
      <c r="G97" s="296">
        <f t="shared" si="38"/>
        <v>0</v>
      </c>
      <c r="H97" s="296">
        <f t="shared" si="38"/>
        <v>0</v>
      </c>
      <c r="I97" s="296">
        <f t="shared" si="38"/>
        <v>0</v>
      </c>
      <c r="J97" s="296">
        <f t="shared" si="38"/>
        <v>0</v>
      </c>
      <c r="K97" s="296">
        <f t="shared" si="38"/>
        <v>0</v>
      </c>
      <c r="L97" s="296">
        <f t="shared" si="38"/>
        <v>0</v>
      </c>
      <c r="M97" s="296">
        <f t="shared" si="38"/>
        <v>0</v>
      </c>
      <c r="N97" s="297">
        <f t="shared" si="38"/>
        <v>0</v>
      </c>
    </row>
    <row r="98" spans="1:14" ht="12.75">
      <c r="A98" s="29"/>
      <c r="B98" s="35">
        <f>'Excerpt WDH'!$B44</f>
        <v>6</v>
      </c>
      <c r="C98" s="295">
        <f aca="true" t="shared" si="39" ref="C98:N98">IF(C12&lt;1.5,0,(C12-1)*C12)</f>
        <v>5256</v>
      </c>
      <c r="D98" s="296">
        <f t="shared" si="39"/>
        <v>4160</v>
      </c>
      <c r="E98" s="296">
        <f t="shared" si="39"/>
        <v>10920</v>
      </c>
      <c r="F98" s="296">
        <f t="shared" si="39"/>
        <v>0</v>
      </c>
      <c r="G98" s="296">
        <f t="shared" si="39"/>
        <v>0</v>
      </c>
      <c r="H98" s="296">
        <f t="shared" si="39"/>
        <v>0</v>
      </c>
      <c r="I98" s="296">
        <f t="shared" si="39"/>
        <v>0</v>
      </c>
      <c r="J98" s="296">
        <f t="shared" si="39"/>
        <v>0</v>
      </c>
      <c r="K98" s="296">
        <f t="shared" si="39"/>
        <v>0</v>
      </c>
      <c r="L98" s="296">
        <f t="shared" si="39"/>
        <v>0</v>
      </c>
      <c r="M98" s="296">
        <f t="shared" si="39"/>
        <v>0</v>
      </c>
      <c r="N98" s="297">
        <f t="shared" si="39"/>
        <v>0</v>
      </c>
    </row>
    <row r="99" spans="1:14" ht="12.75">
      <c r="A99" s="29"/>
      <c r="B99" s="35">
        <f>'Excerpt WDH'!$B45</f>
        <v>5</v>
      </c>
      <c r="C99" s="295">
        <f aca="true" t="shared" si="40" ref="C99:N99">IF(C13&lt;1.5,0,(C13-1)*C13)</f>
        <v>5112</v>
      </c>
      <c r="D99" s="296">
        <f t="shared" si="40"/>
        <v>2862</v>
      </c>
      <c r="E99" s="296">
        <f t="shared" si="40"/>
        <v>2756</v>
      </c>
      <c r="F99" s="296">
        <f t="shared" si="40"/>
        <v>0</v>
      </c>
      <c r="G99" s="296">
        <f t="shared" si="40"/>
        <v>0</v>
      </c>
      <c r="H99" s="296">
        <f t="shared" si="40"/>
        <v>0</v>
      </c>
      <c r="I99" s="296">
        <f t="shared" si="40"/>
        <v>0</v>
      </c>
      <c r="J99" s="296">
        <f t="shared" si="40"/>
        <v>0</v>
      </c>
      <c r="K99" s="296">
        <f t="shared" si="40"/>
        <v>0</v>
      </c>
      <c r="L99" s="296">
        <f t="shared" si="40"/>
        <v>0</v>
      </c>
      <c r="M99" s="296">
        <f t="shared" si="40"/>
        <v>0</v>
      </c>
      <c r="N99" s="297">
        <f t="shared" si="40"/>
        <v>0</v>
      </c>
    </row>
    <row r="100" spans="1:14" ht="12.75">
      <c r="A100" s="29"/>
      <c r="B100" s="35">
        <f>'Excerpt WDH'!$B46</f>
        <v>4</v>
      </c>
      <c r="C100" s="295">
        <f aca="true" t="shared" si="41" ref="C100:N100">IF(C14&lt;1.5,0,(C14-1)*C14)</f>
        <v>240</v>
      </c>
      <c r="D100" s="296">
        <f t="shared" si="41"/>
        <v>90</v>
      </c>
      <c r="E100" s="296">
        <f t="shared" si="41"/>
        <v>110</v>
      </c>
      <c r="F100" s="296">
        <f t="shared" si="41"/>
        <v>0</v>
      </c>
      <c r="G100" s="296">
        <f t="shared" si="41"/>
        <v>0</v>
      </c>
      <c r="H100" s="296">
        <f t="shared" si="41"/>
        <v>0</v>
      </c>
      <c r="I100" s="296">
        <f t="shared" si="41"/>
        <v>0</v>
      </c>
      <c r="J100" s="296">
        <f t="shared" si="41"/>
        <v>0</v>
      </c>
      <c r="K100" s="296">
        <f t="shared" si="41"/>
        <v>0</v>
      </c>
      <c r="L100" s="296">
        <f t="shared" si="41"/>
        <v>0</v>
      </c>
      <c r="M100" s="296">
        <f t="shared" si="41"/>
        <v>0</v>
      </c>
      <c r="N100" s="297">
        <f t="shared" si="41"/>
        <v>0</v>
      </c>
    </row>
    <row r="101" spans="1:14" ht="12.75">
      <c r="A101" s="29"/>
      <c r="B101" s="35">
        <f>'Excerpt WDH'!$B47</f>
        <v>3</v>
      </c>
      <c r="C101" s="295">
        <f aca="true" t="shared" si="42" ref="C101:N101">IF(C15&lt;1.5,0,(C15-1)*C15)</f>
        <v>90</v>
      </c>
      <c r="D101" s="296">
        <f t="shared" si="42"/>
        <v>6</v>
      </c>
      <c r="E101" s="296">
        <f t="shared" si="42"/>
        <v>6</v>
      </c>
      <c r="F101" s="296">
        <f t="shared" si="42"/>
        <v>0</v>
      </c>
      <c r="G101" s="296">
        <f t="shared" si="42"/>
        <v>0</v>
      </c>
      <c r="H101" s="296">
        <f t="shared" si="42"/>
        <v>0</v>
      </c>
      <c r="I101" s="296">
        <f t="shared" si="42"/>
        <v>0</v>
      </c>
      <c r="J101" s="296">
        <f t="shared" si="42"/>
        <v>0</v>
      </c>
      <c r="K101" s="296">
        <f t="shared" si="42"/>
        <v>0</v>
      </c>
      <c r="L101" s="296">
        <f t="shared" si="42"/>
        <v>0</v>
      </c>
      <c r="M101" s="296">
        <f t="shared" si="42"/>
        <v>0</v>
      </c>
      <c r="N101" s="297">
        <f t="shared" si="42"/>
        <v>0</v>
      </c>
    </row>
    <row r="102" spans="1:14" ht="12.75">
      <c r="A102" s="29"/>
      <c r="B102" s="35">
        <f>'Excerpt WDH'!$B48</f>
        <v>2</v>
      </c>
      <c r="C102" s="295">
        <f aca="true" t="shared" si="43" ref="C102:N102">IF(C16&lt;1.5,0,(C16-1)*C16)</f>
        <v>30</v>
      </c>
      <c r="D102" s="296">
        <f t="shared" si="43"/>
        <v>2</v>
      </c>
      <c r="E102" s="296">
        <f t="shared" si="43"/>
        <v>20</v>
      </c>
      <c r="F102" s="296">
        <f t="shared" si="43"/>
        <v>0</v>
      </c>
      <c r="G102" s="296">
        <f t="shared" si="43"/>
        <v>0</v>
      </c>
      <c r="H102" s="296">
        <f t="shared" si="43"/>
        <v>0</v>
      </c>
      <c r="I102" s="296">
        <f t="shared" si="43"/>
        <v>0</v>
      </c>
      <c r="J102" s="296">
        <f t="shared" si="43"/>
        <v>0</v>
      </c>
      <c r="K102" s="296">
        <f t="shared" si="43"/>
        <v>0</v>
      </c>
      <c r="L102" s="296">
        <f t="shared" si="43"/>
        <v>0</v>
      </c>
      <c r="M102" s="296">
        <f t="shared" si="43"/>
        <v>0</v>
      </c>
      <c r="N102" s="297">
        <f t="shared" si="43"/>
        <v>0</v>
      </c>
    </row>
    <row r="103" spans="1:14" ht="12.75">
      <c r="A103" s="29"/>
      <c r="B103" s="35">
        <f>'Excerpt WDH'!$B49</f>
        <v>1</v>
      </c>
      <c r="C103" s="295">
        <f aca="true" t="shared" si="44" ref="C103:N103">IF(C17&lt;1.5,0,(C17-1)*C17)</f>
        <v>0</v>
      </c>
      <c r="D103" s="296">
        <f t="shared" si="44"/>
        <v>2</v>
      </c>
      <c r="E103" s="296">
        <f t="shared" si="44"/>
        <v>0</v>
      </c>
      <c r="F103" s="296">
        <f t="shared" si="44"/>
        <v>0</v>
      </c>
      <c r="G103" s="296">
        <f t="shared" si="44"/>
        <v>0</v>
      </c>
      <c r="H103" s="296">
        <f t="shared" si="44"/>
        <v>0</v>
      </c>
      <c r="I103" s="296">
        <f t="shared" si="44"/>
        <v>0</v>
      </c>
      <c r="J103" s="296">
        <f t="shared" si="44"/>
        <v>0</v>
      </c>
      <c r="K103" s="296">
        <f t="shared" si="44"/>
        <v>0</v>
      </c>
      <c r="L103" s="296">
        <f t="shared" si="44"/>
        <v>0</v>
      </c>
      <c r="M103" s="296">
        <f t="shared" si="44"/>
        <v>0</v>
      </c>
      <c r="N103" s="297">
        <f t="shared" si="44"/>
        <v>0</v>
      </c>
    </row>
    <row r="104" spans="1:14" ht="13.5" thickBot="1">
      <c r="A104" s="29"/>
      <c r="B104" s="35">
        <f>'Excerpt WDH'!$B50</f>
        <v>0</v>
      </c>
      <c r="C104" s="298">
        <f aca="true" t="shared" si="45" ref="C104:N104">IF(C18&lt;1.5,0,(C18-1)*C18)</f>
        <v>30</v>
      </c>
      <c r="D104" s="299">
        <f t="shared" si="45"/>
        <v>2</v>
      </c>
      <c r="E104" s="299">
        <f t="shared" si="45"/>
        <v>2</v>
      </c>
      <c r="F104" s="299">
        <f t="shared" si="45"/>
        <v>0</v>
      </c>
      <c r="G104" s="299">
        <f t="shared" si="45"/>
        <v>0</v>
      </c>
      <c r="H104" s="299">
        <f t="shared" si="45"/>
        <v>0</v>
      </c>
      <c r="I104" s="299">
        <f t="shared" si="45"/>
        <v>0</v>
      </c>
      <c r="J104" s="299">
        <f t="shared" si="45"/>
        <v>0</v>
      </c>
      <c r="K104" s="299">
        <f t="shared" si="45"/>
        <v>0</v>
      </c>
      <c r="L104" s="299">
        <f t="shared" si="45"/>
        <v>0</v>
      </c>
      <c r="M104" s="299">
        <f t="shared" si="45"/>
        <v>0</v>
      </c>
      <c r="N104" s="300">
        <f t="shared" si="45"/>
        <v>0</v>
      </c>
    </row>
    <row r="105" spans="1:16" ht="12.75">
      <c r="A105" s="29"/>
      <c r="B105" t="s">
        <v>40</v>
      </c>
      <c r="G105" s="364">
        <f>0.5*(SUM(C93:N104))</f>
        <v>835265</v>
      </c>
      <c r="H105" s="364"/>
      <c r="I105" s="364"/>
      <c r="P105" s="159"/>
    </row>
  </sheetData>
  <sheetProtection password="C550" sheet="1" objects="1" scenarios="1"/>
  <mergeCells count="5">
    <mergeCell ref="H40:J40"/>
    <mergeCell ref="H56:J56"/>
    <mergeCell ref="G72:I72"/>
    <mergeCell ref="G88:I88"/>
    <mergeCell ref="G105:I10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9.140625" style="117" customWidth="1"/>
    <col min="2" max="2" width="10.7109375" style="0" bestFit="1" customWidth="1"/>
    <col min="4" max="5" width="10.7109375" style="0" customWidth="1"/>
    <col min="7" max="7" width="9.7109375" style="76" customWidth="1"/>
    <col min="8" max="8" width="9.140625" style="76" customWidth="1"/>
    <col min="9" max="9" width="10.7109375" style="118" bestFit="1" customWidth="1"/>
  </cols>
  <sheetData>
    <row r="1" spans="1:7" ht="13.5" thickBot="1">
      <c r="A1" s="253" t="s">
        <v>114</v>
      </c>
      <c r="B1" s="90"/>
      <c r="C1" s="90"/>
      <c r="D1" s="90"/>
      <c r="E1" s="90"/>
      <c r="F1" s="91"/>
      <c r="G1" s="88"/>
    </row>
    <row r="2" ht="13.5" thickBot="1"/>
    <row r="3" spans="1:8" ht="13.5" thickBot="1">
      <c r="A3"/>
      <c r="B3" t="s">
        <v>142</v>
      </c>
      <c r="E3" s="240">
        <f>'Excerpt WDH'!L7</f>
        <v>4675</v>
      </c>
      <c r="F3" t="s">
        <v>171</v>
      </c>
      <c r="H3"/>
    </row>
    <row r="4" spans="1:8" ht="12.75">
      <c r="A4"/>
      <c r="G4"/>
      <c r="H4"/>
    </row>
    <row r="5" spans="5:8" ht="12.75">
      <c r="E5" s="80"/>
      <c r="G5"/>
      <c r="H5"/>
    </row>
    <row r="6" spans="1:16" ht="12.75">
      <c r="A6" s="156" t="s">
        <v>114</v>
      </c>
      <c r="B6" s="29"/>
      <c r="C6" s="29"/>
      <c r="D6" s="29"/>
      <c r="E6" s="29"/>
      <c r="F6" s="29"/>
      <c r="G6" s="29"/>
      <c r="H6" s="78"/>
      <c r="I6" s="79"/>
      <c r="J6" s="79"/>
      <c r="K6" s="79"/>
      <c r="L6" s="79"/>
      <c r="M6" s="79"/>
      <c r="N6" s="144"/>
      <c r="O6" s="157"/>
      <c r="P6" s="144"/>
    </row>
    <row r="7" spans="1:16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3.5" thickBot="1">
      <c r="A8" s="29"/>
      <c r="B8" s="29" t="s">
        <v>13</v>
      </c>
      <c r="C8" s="29"/>
      <c r="D8" s="29"/>
      <c r="E8" s="29"/>
      <c r="F8" s="29"/>
      <c r="G8" s="58" t="str">
        <f>IF(OR('Excerpt WDH'!$L$10=2,'Excerpt WDH'!$L$10=3,'Excerpt WDH'!$L$10=4),"(APPROXIMATELY,  CALCULATED and ROUNDED !!)","")</f>
        <v>(APPROXIMATELY,  CALCULATED and ROUNDED !!)</v>
      </c>
      <c r="H8" s="29"/>
      <c r="I8" s="29"/>
      <c r="J8" s="29"/>
      <c r="K8" s="29"/>
      <c r="L8" s="29"/>
      <c r="M8" s="29"/>
      <c r="N8" s="29"/>
      <c r="O8" s="29"/>
      <c r="P8" s="29"/>
    </row>
    <row r="9" spans="1:16" ht="13.5" thickBot="1">
      <c r="A9" s="29"/>
      <c r="B9" s="30"/>
      <c r="C9" s="31">
        <v>1</v>
      </c>
      <c r="D9" s="32">
        <f aca="true" t="shared" si="0" ref="D9:N9">C9+1</f>
        <v>2</v>
      </c>
      <c r="E9" s="32">
        <f t="shared" si="0"/>
        <v>3</v>
      </c>
      <c r="F9" s="32">
        <f t="shared" si="0"/>
        <v>4</v>
      </c>
      <c r="G9" s="32">
        <f t="shared" si="0"/>
        <v>5</v>
      </c>
      <c r="H9" s="32">
        <f t="shared" si="0"/>
        <v>6</v>
      </c>
      <c r="I9" s="32">
        <f t="shared" si="0"/>
        <v>7</v>
      </c>
      <c r="J9" s="32">
        <f t="shared" si="0"/>
        <v>8</v>
      </c>
      <c r="K9" s="32">
        <f t="shared" si="0"/>
        <v>9</v>
      </c>
      <c r="L9" s="32">
        <f t="shared" si="0"/>
        <v>10</v>
      </c>
      <c r="M9" s="32">
        <f t="shared" si="0"/>
        <v>11</v>
      </c>
      <c r="N9" s="266">
        <f t="shared" si="0"/>
        <v>12</v>
      </c>
      <c r="O9" s="269" t="s">
        <v>0</v>
      </c>
      <c r="P9" s="29"/>
    </row>
    <row r="10" spans="1:16" ht="12.75">
      <c r="A10" s="29"/>
      <c r="B10" s="263">
        <f>'Excerpt WDH'!B39</f>
      </c>
      <c r="C10" s="43">
        <f>IF(AND(C$9&lt;'Excerpt WDH'!$E$18+0.5,$B10&lt;'Excerpt WDH'!$E$11+0.5),ROUND((IF('Excerpt WDH'!$L$10=1,'Excerpt WDH'!C39,IF('Excerpt WDH'!$L$10=2,'Excerpt WDH'!C39*$E$3/100,IF('Excerpt WDH'!$L$10=3,'Excerpt WDH'!C39*'Excerpt WDH'!$O39/100,IF('Excerpt WDH'!$L$10=4,'Excerpt WDH'!C39*'Excerpt WDH'!C$51/100," "))))),0),"")</f>
      </c>
      <c r="D10" s="44">
        <f>IF(AND(D$9&lt;'Excerpt WDH'!$E$18+0.5,$B10&lt;'Excerpt WDH'!$E$11+0.5),ROUND((IF('Excerpt WDH'!$L$10=1,'Excerpt WDH'!D39,IF('Excerpt WDH'!$L$10=2,'Excerpt WDH'!D39*$E$3/100,IF('Excerpt WDH'!$L$10=3,'Excerpt WDH'!D39*'Excerpt WDH'!$O39/100,IF('Excerpt WDH'!$L$10=4,'Excerpt WDH'!D39*'Excerpt WDH'!D$51/100," "))))),0),"")</f>
      </c>
      <c r="E10" s="44">
        <f>IF(AND(E$9&lt;'Excerpt WDH'!$E$18+0.5,$B10&lt;'Excerpt WDH'!$E$11+0.5),ROUND((IF('Excerpt WDH'!$L$10=1,'Excerpt WDH'!E39,IF('Excerpt WDH'!$L$10=2,'Excerpt WDH'!E39*$E$3/100,IF('Excerpt WDH'!$L$10=3,'Excerpt WDH'!E39*'Excerpt WDH'!$O39/100,IF('Excerpt WDH'!$L$10=4,'Excerpt WDH'!E39*'Excerpt WDH'!E$51/100," "))))),0),"")</f>
      </c>
      <c r="F10" s="44">
        <f>IF(AND(F$9&lt;'Excerpt WDH'!$E$18+0.5,$B10&lt;'Excerpt WDH'!$E$11+0.5),ROUND((IF('Excerpt WDH'!$L$10=1,'Excerpt WDH'!F39,IF('Excerpt WDH'!$L$10=2,'Excerpt WDH'!F39*$E$3/100,IF('Excerpt WDH'!$L$10=3,'Excerpt WDH'!F39*'Excerpt WDH'!$O39/100,IF('Excerpt WDH'!$L$10=4,'Excerpt WDH'!F39*'Excerpt WDH'!F$51/100," "))))),0),"")</f>
      </c>
      <c r="G10" s="44">
        <f>IF(AND(G$9&lt;'Excerpt WDH'!$E$18+0.5,$B10&lt;'Excerpt WDH'!$E$11+0.5),ROUND((IF('Excerpt WDH'!$L$10=1,'Excerpt WDH'!G39,IF('Excerpt WDH'!$L$10=2,'Excerpt WDH'!G39*$E$3/100,IF('Excerpt WDH'!$L$10=3,'Excerpt WDH'!G39*'Excerpt WDH'!$O39/100,IF('Excerpt WDH'!$L$10=4,'Excerpt WDH'!G39*'Excerpt WDH'!G$51/100," "))))),0),"")</f>
      </c>
      <c r="H10" s="44">
        <f>IF(AND(H$9&lt;'Excerpt WDH'!$E$18+0.5,$B10&lt;'Excerpt WDH'!$E$11+0.5),ROUND((IF('Excerpt WDH'!$L$10=1,'Excerpt WDH'!H39,IF('Excerpt WDH'!$L$10=2,'Excerpt WDH'!H39*$E$3/100,IF('Excerpt WDH'!$L$10=3,'Excerpt WDH'!H39*'Excerpt WDH'!$O39/100,IF('Excerpt WDH'!$L$10=4,'Excerpt WDH'!H39*'Excerpt WDH'!H$51/100," "))))),0),"")</f>
      </c>
      <c r="I10" s="44">
        <f>IF(AND(I$9&lt;'Excerpt WDH'!$E$18+0.5,$B10&lt;'Excerpt WDH'!$E$11+0.5),ROUND((IF('Excerpt WDH'!$L$10=1,'Excerpt WDH'!I39,IF('Excerpt WDH'!$L$10=2,'Excerpt WDH'!I39*$E$3/100,IF('Excerpt WDH'!$L$10=3,'Excerpt WDH'!I39*'Excerpt WDH'!$O39/100,IF('Excerpt WDH'!$L$10=4,'Excerpt WDH'!I39*'Excerpt WDH'!I$51/100," "))))),0),"")</f>
      </c>
      <c r="J10" s="44">
        <f>IF(AND(J$9&lt;'Excerpt WDH'!$E$18+0.5,$B10&lt;'Excerpt WDH'!$E$11+0.5),ROUND((IF('Excerpt WDH'!$L$10=1,'Excerpt WDH'!J39,IF('Excerpt WDH'!$L$10=2,'Excerpt WDH'!J39*$E$3/100,IF('Excerpt WDH'!$L$10=3,'Excerpt WDH'!J39*'Excerpt WDH'!$O39/100,IF('Excerpt WDH'!$L$10=4,'Excerpt WDH'!J39*'Excerpt WDH'!J$51/100," "))))),0),"")</f>
      </c>
      <c r="K10" s="44">
        <f>IF(AND(K$9&lt;'Excerpt WDH'!$E$18+0.5,$B10&lt;'Excerpt WDH'!$E$11+0.5),ROUND((IF('Excerpt WDH'!$L$10=1,'Excerpt WDH'!K39,IF('Excerpt WDH'!$L$10=2,'Excerpt WDH'!K39*$E$3/100,IF('Excerpt WDH'!$L$10=3,'Excerpt WDH'!K39*'Excerpt WDH'!$O39/100,IF('Excerpt WDH'!$L$10=4,'Excerpt WDH'!K39*'Excerpt WDH'!K$51/100," "))))),0),"")</f>
      </c>
      <c r="L10" s="44">
        <f>IF(AND(L$9&lt;'Excerpt WDH'!$E$18+0.5,$B10&lt;'Excerpt WDH'!$E$11+0.5),ROUND((IF('Excerpt WDH'!$L$10=1,'Excerpt WDH'!L39,IF('Excerpt WDH'!$L$10=2,'Excerpt WDH'!L39*$E$3/100,IF('Excerpt WDH'!$L$10=3,'Excerpt WDH'!L39*'Excerpt WDH'!$O39/100,IF('Excerpt WDH'!$L$10=4,'Excerpt WDH'!L39*'Excerpt WDH'!L$51/100," "))))),0),"")</f>
      </c>
      <c r="M10" s="44">
        <f>IF(AND(M$9&lt;'Excerpt WDH'!$E$18+0.5,$B10&lt;'Excerpt WDH'!$E$11+0.5),ROUND((IF('Excerpt WDH'!$L$10=1,'Excerpt WDH'!M39,IF('Excerpt WDH'!$L$10=2,'Excerpt WDH'!M39*$E$3/100,IF('Excerpt WDH'!$L$10=3,'Excerpt WDH'!M39*'Excerpt WDH'!$O39/100,IF('Excerpt WDH'!$L$10=4,'Excerpt WDH'!M39*'Excerpt WDH'!M$51/100," "))))),0),"")</f>
      </c>
      <c r="N10" s="267">
        <f>IF(AND(N$9&lt;'Excerpt WDH'!$E$18+0.5,$B10&lt;'Excerpt WDH'!$E$11+0.5),ROUND((IF('Excerpt WDH'!$L$10=1,'Excerpt WDH'!N39,IF('Excerpt WDH'!$L$10=2,'Excerpt WDH'!N39*$E$3/100,IF('Excerpt WDH'!$L$10=3,'Excerpt WDH'!N39*'Excerpt WDH'!$O39/100,IF('Excerpt WDH'!$L$10=4,'Excerpt WDH'!N39*'Excerpt WDH'!N$51/100," "))))),0),"")</f>
      </c>
      <c r="O10" s="60">
        <f>IF(B10&gt;'Excerpt WDH'!$E$13,"",SUM(C10:N10))</f>
      </c>
      <c r="P10" s="29"/>
    </row>
    <row r="11" spans="1:16" ht="12.75">
      <c r="A11" s="29"/>
      <c r="B11" s="264">
        <f>'Excerpt WDH'!B40</f>
        <v>10</v>
      </c>
      <c r="C11" s="45">
        <f>IF(AND(C$9&lt;'Excerpt WDH'!$E$18+0.5,$B11&lt;'Excerpt WDH'!$E$11+0.5),ROUND((IF('Excerpt WDH'!$L$10=1,'Excerpt WDH'!C40,IF('Excerpt WDH'!$L$10=2,'Excerpt WDH'!C40*$E$3/100,IF('Excerpt WDH'!$L$10=3,'Excerpt WDH'!C40*'Excerpt WDH'!$O40/100,IF('Excerpt WDH'!$L$10=4,'Excerpt WDH'!C40*'Excerpt WDH'!C$51/100," "))))),0),"")</f>
        <v>263</v>
      </c>
      <c r="D11" s="46">
        <f>IF(AND(D$9&lt;'Excerpt WDH'!$E$18+0.5,$B11&lt;'Excerpt WDH'!$E$11+0.5),ROUND((IF('Excerpt WDH'!$L$10=1,'Excerpt WDH'!D40,IF('Excerpt WDH'!$L$10=2,'Excerpt WDH'!D40*$E$3/100,IF('Excerpt WDH'!$L$10=3,'Excerpt WDH'!D40*'Excerpt WDH'!$O40/100,IF('Excerpt WDH'!$L$10=4,'Excerpt WDH'!D40*'Excerpt WDH'!D$51/100," "))))),0),"")</f>
        <v>211</v>
      </c>
      <c r="E11" s="46">
        <f>IF(AND(E$9&lt;'Excerpt WDH'!$E$18+0.5,$B11&lt;'Excerpt WDH'!$E$11+0.5),ROUND((IF('Excerpt WDH'!$L$10=1,'Excerpt WDH'!E40,IF('Excerpt WDH'!$L$10=2,'Excerpt WDH'!E40*$E$3/100,IF('Excerpt WDH'!$L$10=3,'Excerpt WDH'!E40*'Excerpt WDH'!$O40/100,IF('Excerpt WDH'!$L$10=4,'Excerpt WDH'!E40*'Excerpt WDH'!E$51/100," "))))),0),"")</f>
        <v>159</v>
      </c>
      <c r="F11" s="46">
        <f>IF(AND(F$9&lt;'Excerpt WDH'!$E$18+0.5,$B11&lt;'Excerpt WDH'!$E$11+0.5),ROUND((IF('Excerpt WDH'!$L$10=1,'Excerpt WDH'!F40,IF('Excerpt WDH'!$L$10=2,'Excerpt WDH'!F40*$E$3/100,IF('Excerpt WDH'!$L$10=3,'Excerpt WDH'!F40*'Excerpt WDH'!$O40/100,IF('Excerpt WDH'!$L$10=4,'Excerpt WDH'!F40*'Excerpt WDH'!F$51/100," "))))),0),"")</f>
      </c>
      <c r="G11" s="46">
        <f>IF(AND(G$9&lt;'Excerpt WDH'!$E$18+0.5,$B11&lt;'Excerpt WDH'!$E$11+0.5),ROUND((IF('Excerpt WDH'!$L$10=1,'Excerpt WDH'!G40,IF('Excerpt WDH'!$L$10=2,'Excerpt WDH'!G40*$E$3/100,IF('Excerpt WDH'!$L$10=3,'Excerpt WDH'!G40*'Excerpt WDH'!$O40/100,IF('Excerpt WDH'!$L$10=4,'Excerpt WDH'!G40*'Excerpt WDH'!G$51/100," "))))),0),"")</f>
      </c>
      <c r="H11" s="46">
        <f>IF(AND(H$9&lt;'Excerpt WDH'!$E$18+0.5,$B11&lt;'Excerpt WDH'!$E$11+0.5),ROUND((IF('Excerpt WDH'!$L$10=1,'Excerpt WDH'!H40,IF('Excerpt WDH'!$L$10=2,'Excerpt WDH'!H40*$E$3/100,IF('Excerpt WDH'!$L$10=3,'Excerpt WDH'!H40*'Excerpt WDH'!$O40/100,IF('Excerpt WDH'!$L$10=4,'Excerpt WDH'!H40*'Excerpt WDH'!H$51/100," "))))),0),"")</f>
      </c>
      <c r="I11" s="46">
        <f>IF(AND(I$9&lt;'Excerpt WDH'!$E$18+0.5,$B11&lt;'Excerpt WDH'!$E$11+0.5),ROUND((IF('Excerpt WDH'!$L$10=1,'Excerpt WDH'!I40,IF('Excerpt WDH'!$L$10=2,'Excerpt WDH'!I40*$E$3/100,IF('Excerpt WDH'!$L$10=3,'Excerpt WDH'!I40*'Excerpt WDH'!$O40/100,IF('Excerpt WDH'!$L$10=4,'Excerpt WDH'!I40*'Excerpt WDH'!I$51/100," "))))),0),"")</f>
      </c>
      <c r="J11" s="46">
        <f>IF(AND(J$9&lt;'Excerpt WDH'!$E$18+0.5,$B11&lt;'Excerpt WDH'!$E$11+0.5),ROUND((IF('Excerpt WDH'!$L$10=1,'Excerpt WDH'!J40,IF('Excerpt WDH'!$L$10=2,'Excerpt WDH'!J40*$E$3/100,IF('Excerpt WDH'!$L$10=3,'Excerpt WDH'!J40*'Excerpt WDH'!$O40/100,IF('Excerpt WDH'!$L$10=4,'Excerpt WDH'!J40*'Excerpt WDH'!J$51/100," "))))),0),"")</f>
      </c>
      <c r="K11" s="46">
        <f>IF(AND(K$9&lt;'Excerpt WDH'!$E$18+0.5,$B11&lt;'Excerpt WDH'!$E$11+0.5),ROUND((IF('Excerpt WDH'!$L$10=1,'Excerpt WDH'!K40,IF('Excerpt WDH'!$L$10=2,'Excerpt WDH'!K40*$E$3/100,IF('Excerpt WDH'!$L$10=3,'Excerpt WDH'!K40*'Excerpt WDH'!$O40/100,IF('Excerpt WDH'!$L$10=4,'Excerpt WDH'!K40*'Excerpt WDH'!K$51/100," "))))),0),"")</f>
      </c>
      <c r="L11" s="46">
        <f>IF(AND(L$9&lt;'Excerpt WDH'!$E$18+0.5,$B11&lt;'Excerpt WDH'!$E$11+0.5),ROUND((IF('Excerpt WDH'!$L$10=1,'Excerpt WDH'!L40,IF('Excerpt WDH'!$L$10=2,'Excerpt WDH'!L40*$E$3/100,IF('Excerpt WDH'!$L$10=3,'Excerpt WDH'!L40*'Excerpt WDH'!$O40/100,IF('Excerpt WDH'!$L$10=4,'Excerpt WDH'!L40*'Excerpt WDH'!L$51/100," "))))),0),"")</f>
      </c>
      <c r="M11" s="46">
        <f>IF(AND(M$9&lt;'Excerpt WDH'!$E$18+0.5,$B11&lt;'Excerpt WDH'!$E$11+0.5),ROUND((IF('Excerpt WDH'!$L$10=1,'Excerpt WDH'!M40,IF('Excerpt WDH'!$L$10=2,'Excerpt WDH'!M40*$E$3/100,IF('Excerpt WDH'!$L$10=3,'Excerpt WDH'!M40*'Excerpt WDH'!$O40/100,IF('Excerpt WDH'!$L$10=4,'Excerpt WDH'!M40*'Excerpt WDH'!M$51/100," "))))),0),"")</f>
      </c>
      <c r="N11" s="268">
        <f>IF(AND(N$9&lt;'Excerpt WDH'!$E$18+0.5,$B11&lt;'Excerpt WDH'!$E$11+0.5),ROUND((IF('Excerpt WDH'!$L$10=1,'Excerpt WDH'!N40,IF('Excerpt WDH'!$L$10=2,'Excerpt WDH'!N40*$E$3/100,IF('Excerpt WDH'!$L$10=3,'Excerpt WDH'!N40*'Excerpt WDH'!$O40/100,IF('Excerpt WDH'!$L$10=4,'Excerpt WDH'!N40*'Excerpt WDH'!N$51/100," "))))),0),"")</f>
      </c>
      <c r="O11" s="61">
        <f>IF(B11&gt;'Excerpt WDH'!$E$13,"",SUM(C11:N11))</f>
        <v>633</v>
      </c>
      <c r="P11" s="29"/>
    </row>
    <row r="12" spans="1:16" ht="12.75">
      <c r="A12" s="29"/>
      <c r="B12" s="264">
        <f>'Excerpt WDH'!B41</f>
        <v>9</v>
      </c>
      <c r="C12" s="45">
        <f>IF(AND(C$9&lt;'Excerpt WDH'!$E$18+0.5,$B12&lt;'Excerpt WDH'!$E$11+0.5),ROUND((IF('Excerpt WDH'!$L$10=1,'Excerpt WDH'!C41,IF('Excerpt WDH'!$L$10=2,'Excerpt WDH'!C41*$E$3/100,IF('Excerpt WDH'!$L$10=3,'Excerpt WDH'!C41*'Excerpt WDH'!$O41/100,IF('Excerpt WDH'!$L$10=4,'Excerpt WDH'!C41*'Excerpt WDH'!C$51/100," "))))),0),"")</f>
        <v>356</v>
      </c>
      <c r="D12" s="46">
        <f>IF(AND(D$9&lt;'Excerpt WDH'!$E$18+0.5,$B12&lt;'Excerpt WDH'!$E$11+0.5),ROUND((IF('Excerpt WDH'!$L$10=1,'Excerpt WDH'!D41,IF('Excerpt WDH'!$L$10=2,'Excerpt WDH'!D41*$E$3/100,IF('Excerpt WDH'!$L$10=3,'Excerpt WDH'!D41*'Excerpt WDH'!$O41/100,IF('Excerpt WDH'!$L$10=4,'Excerpt WDH'!D41*'Excerpt WDH'!D$51/100," "))))),0),"")</f>
        <v>455</v>
      </c>
      <c r="E12" s="46">
        <f>IF(AND(E$9&lt;'Excerpt WDH'!$E$18+0.5,$B12&lt;'Excerpt WDH'!$E$11+0.5),ROUND((IF('Excerpt WDH'!$L$10=1,'Excerpt WDH'!E41,IF('Excerpt WDH'!$L$10=2,'Excerpt WDH'!E41*$E$3/100,IF('Excerpt WDH'!$L$10=3,'Excerpt WDH'!E41*'Excerpt WDH'!$O41/100,IF('Excerpt WDH'!$L$10=4,'Excerpt WDH'!E41*'Excerpt WDH'!E$51/100," "))))),0),"")</f>
        <v>355</v>
      </c>
      <c r="F12" s="46">
        <f>IF(AND(F$9&lt;'Excerpt WDH'!$E$18+0.5,$B12&lt;'Excerpt WDH'!$E$11+0.5),ROUND((IF('Excerpt WDH'!$L$10=1,'Excerpt WDH'!F41,IF('Excerpt WDH'!$L$10=2,'Excerpt WDH'!F41*$E$3/100,IF('Excerpt WDH'!$L$10=3,'Excerpt WDH'!F41*'Excerpt WDH'!$O41/100,IF('Excerpt WDH'!$L$10=4,'Excerpt WDH'!F41*'Excerpt WDH'!F$51/100," "))))),0),"")</f>
      </c>
      <c r="G12" s="46">
        <f>IF(AND(G$9&lt;'Excerpt WDH'!$E$18+0.5,$B12&lt;'Excerpt WDH'!$E$11+0.5),ROUND((IF('Excerpt WDH'!$L$10=1,'Excerpt WDH'!G41,IF('Excerpt WDH'!$L$10=2,'Excerpt WDH'!G41*$E$3/100,IF('Excerpt WDH'!$L$10=3,'Excerpt WDH'!G41*'Excerpt WDH'!$O41/100,IF('Excerpt WDH'!$L$10=4,'Excerpt WDH'!G41*'Excerpt WDH'!G$51/100," "))))),0),"")</f>
      </c>
      <c r="H12" s="46">
        <f>IF(AND(H$9&lt;'Excerpt WDH'!$E$18+0.5,$B12&lt;'Excerpt WDH'!$E$11+0.5),ROUND((IF('Excerpt WDH'!$L$10=1,'Excerpt WDH'!H41,IF('Excerpt WDH'!$L$10=2,'Excerpt WDH'!H41*$E$3/100,IF('Excerpt WDH'!$L$10=3,'Excerpt WDH'!H41*'Excerpt WDH'!$O41/100,IF('Excerpt WDH'!$L$10=4,'Excerpt WDH'!H41*'Excerpt WDH'!H$51/100," "))))),0),"")</f>
      </c>
      <c r="I12" s="46">
        <f>IF(AND(I$9&lt;'Excerpt WDH'!$E$18+0.5,$B12&lt;'Excerpt WDH'!$E$11+0.5),ROUND((IF('Excerpt WDH'!$L$10=1,'Excerpt WDH'!I41,IF('Excerpt WDH'!$L$10=2,'Excerpt WDH'!I41*$E$3/100,IF('Excerpt WDH'!$L$10=3,'Excerpt WDH'!I41*'Excerpt WDH'!$O41/100,IF('Excerpt WDH'!$L$10=4,'Excerpt WDH'!I41*'Excerpt WDH'!I$51/100," "))))),0),"")</f>
      </c>
      <c r="J12" s="46">
        <f>IF(AND(J$9&lt;'Excerpt WDH'!$E$18+0.5,$B12&lt;'Excerpt WDH'!$E$11+0.5),ROUND((IF('Excerpt WDH'!$L$10=1,'Excerpt WDH'!J41,IF('Excerpt WDH'!$L$10=2,'Excerpt WDH'!J41*$E$3/100,IF('Excerpt WDH'!$L$10=3,'Excerpt WDH'!J41*'Excerpt WDH'!$O41/100,IF('Excerpt WDH'!$L$10=4,'Excerpt WDH'!J41*'Excerpt WDH'!J$51/100," "))))),0),"")</f>
      </c>
      <c r="K12" s="46">
        <f>IF(AND(K$9&lt;'Excerpt WDH'!$E$18+0.5,$B12&lt;'Excerpt WDH'!$E$11+0.5),ROUND((IF('Excerpt WDH'!$L$10=1,'Excerpt WDH'!K41,IF('Excerpt WDH'!$L$10=2,'Excerpt WDH'!K41*$E$3/100,IF('Excerpt WDH'!$L$10=3,'Excerpt WDH'!K41*'Excerpt WDH'!$O41/100,IF('Excerpt WDH'!$L$10=4,'Excerpt WDH'!K41*'Excerpt WDH'!K$51/100," "))))),0),"")</f>
      </c>
      <c r="L12" s="46">
        <f>IF(AND(L$9&lt;'Excerpt WDH'!$E$18+0.5,$B12&lt;'Excerpt WDH'!$E$11+0.5),ROUND((IF('Excerpt WDH'!$L$10=1,'Excerpt WDH'!L41,IF('Excerpt WDH'!$L$10=2,'Excerpt WDH'!L41*$E$3/100,IF('Excerpt WDH'!$L$10=3,'Excerpt WDH'!L41*'Excerpt WDH'!$O41/100,IF('Excerpt WDH'!$L$10=4,'Excerpt WDH'!L41*'Excerpt WDH'!L$51/100," "))))),0),"")</f>
      </c>
      <c r="M12" s="46">
        <f>IF(AND(M$9&lt;'Excerpt WDH'!$E$18+0.5,$B12&lt;'Excerpt WDH'!$E$11+0.5),ROUND((IF('Excerpt WDH'!$L$10=1,'Excerpt WDH'!M41,IF('Excerpt WDH'!$L$10=2,'Excerpt WDH'!M41*$E$3/100,IF('Excerpt WDH'!$L$10=3,'Excerpt WDH'!M41*'Excerpt WDH'!$O41/100,IF('Excerpt WDH'!$L$10=4,'Excerpt WDH'!M41*'Excerpt WDH'!M$51/100," "))))),0),"")</f>
      </c>
      <c r="N12" s="268">
        <f>IF(AND(N$9&lt;'Excerpt WDH'!$E$18+0.5,$B12&lt;'Excerpt WDH'!$E$11+0.5),ROUND((IF('Excerpt WDH'!$L$10=1,'Excerpt WDH'!N41,IF('Excerpt WDH'!$L$10=2,'Excerpt WDH'!N41*$E$3/100,IF('Excerpt WDH'!$L$10=3,'Excerpt WDH'!N41*'Excerpt WDH'!$O41/100,IF('Excerpt WDH'!$L$10=4,'Excerpt WDH'!N41*'Excerpt WDH'!N$51/100," "))))),0),"")</f>
      </c>
      <c r="O12" s="61">
        <f>IF(B12&gt;'Excerpt WDH'!$E$13,"",SUM(C12:N12))</f>
        <v>1166</v>
      </c>
      <c r="P12" s="29"/>
    </row>
    <row r="13" spans="1:16" ht="12.75">
      <c r="A13" s="29"/>
      <c r="B13" s="264">
        <f>'Excerpt WDH'!B42</f>
        <v>8</v>
      </c>
      <c r="C13" s="45">
        <f>IF(AND(C$9&lt;'Excerpt WDH'!$E$18+0.5,$B13&lt;'Excerpt WDH'!$E$11+0.5),ROUND((IF('Excerpt WDH'!$L$10=1,'Excerpt WDH'!C42,IF('Excerpt WDH'!$L$10=2,'Excerpt WDH'!C42*$E$3/100,IF('Excerpt WDH'!$L$10=3,'Excerpt WDH'!C42*'Excerpt WDH'!$O42/100,IF('Excerpt WDH'!$L$10=4,'Excerpt WDH'!C42*'Excerpt WDH'!C$51/100," "))))),0),"")</f>
        <v>409</v>
      </c>
      <c r="D13" s="46">
        <f>IF(AND(D$9&lt;'Excerpt WDH'!$E$18+0.5,$B13&lt;'Excerpt WDH'!$E$11+0.5),ROUND((IF('Excerpt WDH'!$L$10=1,'Excerpt WDH'!D42,IF('Excerpt WDH'!$L$10=2,'Excerpt WDH'!D42*$E$3/100,IF('Excerpt WDH'!$L$10=3,'Excerpt WDH'!D42*'Excerpt WDH'!$O42/100,IF('Excerpt WDH'!$L$10=4,'Excerpt WDH'!D42*'Excerpt WDH'!D$51/100," "))))),0),"")</f>
        <v>588</v>
      </c>
      <c r="E13" s="46">
        <f>IF(AND(E$9&lt;'Excerpt WDH'!$E$18+0.5,$B13&lt;'Excerpt WDH'!$E$11+0.5),ROUND((IF('Excerpt WDH'!$L$10=1,'Excerpt WDH'!E42,IF('Excerpt WDH'!$L$10=2,'Excerpt WDH'!E42*$E$3/100,IF('Excerpt WDH'!$L$10=3,'Excerpt WDH'!E42*'Excerpt WDH'!$O42/100,IF('Excerpt WDH'!$L$10=4,'Excerpt WDH'!E42*'Excerpt WDH'!E$51/100," "))))),0),"")</f>
        <v>535</v>
      </c>
      <c r="F13" s="46">
        <f>IF(AND(F$9&lt;'Excerpt WDH'!$E$18+0.5,$B13&lt;'Excerpt WDH'!$E$11+0.5),ROUND((IF('Excerpt WDH'!$L$10=1,'Excerpt WDH'!F42,IF('Excerpt WDH'!$L$10=2,'Excerpt WDH'!F42*$E$3/100,IF('Excerpt WDH'!$L$10=3,'Excerpt WDH'!F42*'Excerpt WDH'!$O42/100,IF('Excerpt WDH'!$L$10=4,'Excerpt WDH'!F42*'Excerpt WDH'!F$51/100," "))))),0),"")</f>
      </c>
      <c r="G13" s="46">
        <f>IF(AND(G$9&lt;'Excerpt WDH'!$E$18+0.5,$B13&lt;'Excerpt WDH'!$E$11+0.5),ROUND((IF('Excerpt WDH'!$L$10=1,'Excerpt WDH'!G42,IF('Excerpt WDH'!$L$10=2,'Excerpt WDH'!G42*$E$3/100,IF('Excerpt WDH'!$L$10=3,'Excerpt WDH'!G42*'Excerpt WDH'!$O42/100,IF('Excerpt WDH'!$L$10=4,'Excerpt WDH'!G42*'Excerpt WDH'!G$51/100," "))))),0),"")</f>
      </c>
      <c r="H13" s="46">
        <f>IF(AND(H$9&lt;'Excerpt WDH'!$E$18+0.5,$B13&lt;'Excerpt WDH'!$E$11+0.5),ROUND((IF('Excerpt WDH'!$L$10=1,'Excerpt WDH'!H42,IF('Excerpt WDH'!$L$10=2,'Excerpt WDH'!H42*$E$3/100,IF('Excerpt WDH'!$L$10=3,'Excerpt WDH'!H42*'Excerpt WDH'!$O42/100,IF('Excerpt WDH'!$L$10=4,'Excerpt WDH'!H42*'Excerpt WDH'!H$51/100," "))))),0),"")</f>
      </c>
      <c r="I13" s="46">
        <f>IF(AND(I$9&lt;'Excerpt WDH'!$E$18+0.5,$B13&lt;'Excerpt WDH'!$E$11+0.5),ROUND((IF('Excerpt WDH'!$L$10=1,'Excerpt WDH'!I42,IF('Excerpt WDH'!$L$10=2,'Excerpt WDH'!I42*$E$3/100,IF('Excerpt WDH'!$L$10=3,'Excerpt WDH'!I42*'Excerpt WDH'!$O42/100,IF('Excerpt WDH'!$L$10=4,'Excerpt WDH'!I42*'Excerpt WDH'!I$51/100," "))))),0),"")</f>
      </c>
      <c r="J13" s="46">
        <f>IF(AND(J$9&lt;'Excerpt WDH'!$E$18+0.5,$B13&lt;'Excerpt WDH'!$E$11+0.5),ROUND((IF('Excerpt WDH'!$L$10=1,'Excerpt WDH'!J42,IF('Excerpt WDH'!$L$10=2,'Excerpt WDH'!J42*$E$3/100,IF('Excerpt WDH'!$L$10=3,'Excerpt WDH'!J42*'Excerpt WDH'!$O42/100,IF('Excerpt WDH'!$L$10=4,'Excerpt WDH'!J42*'Excerpt WDH'!J$51/100," "))))),0),"")</f>
      </c>
      <c r="K13" s="46">
        <f>IF(AND(K$9&lt;'Excerpt WDH'!$E$18+0.5,$B13&lt;'Excerpt WDH'!$E$11+0.5),ROUND((IF('Excerpt WDH'!$L$10=1,'Excerpt WDH'!K42,IF('Excerpt WDH'!$L$10=2,'Excerpt WDH'!K42*$E$3/100,IF('Excerpt WDH'!$L$10=3,'Excerpt WDH'!K42*'Excerpt WDH'!$O42/100,IF('Excerpt WDH'!$L$10=4,'Excerpt WDH'!K42*'Excerpt WDH'!K$51/100," "))))),0),"")</f>
      </c>
      <c r="L13" s="46">
        <f>IF(AND(L$9&lt;'Excerpt WDH'!$E$18+0.5,$B13&lt;'Excerpt WDH'!$E$11+0.5),ROUND((IF('Excerpt WDH'!$L$10=1,'Excerpt WDH'!L42,IF('Excerpt WDH'!$L$10=2,'Excerpt WDH'!L42*$E$3/100,IF('Excerpt WDH'!$L$10=3,'Excerpt WDH'!L42*'Excerpt WDH'!$O42/100,IF('Excerpt WDH'!$L$10=4,'Excerpt WDH'!L42*'Excerpt WDH'!L$51/100," "))))),0),"")</f>
      </c>
      <c r="M13" s="46">
        <f>IF(AND(M$9&lt;'Excerpt WDH'!$E$18+0.5,$B13&lt;'Excerpt WDH'!$E$11+0.5),ROUND((IF('Excerpt WDH'!$L$10=1,'Excerpt WDH'!M42,IF('Excerpt WDH'!$L$10=2,'Excerpt WDH'!M42*$E$3/100,IF('Excerpt WDH'!$L$10=3,'Excerpt WDH'!M42*'Excerpt WDH'!$O42/100,IF('Excerpt WDH'!$L$10=4,'Excerpt WDH'!M42*'Excerpt WDH'!M$51/100," "))))),0),"")</f>
      </c>
      <c r="N13" s="268">
        <f>IF(AND(N$9&lt;'Excerpt WDH'!$E$18+0.5,$B13&lt;'Excerpt WDH'!$E$11+0.5),ROUND((IF('Excerpt WDH'!$L$10=1,'Excerpt WDH'!N42,IF('Excerpt WDH'!$L$10=2,'Excerpt WDH'!N42*$E$3/100,IF('Excerpt WDH'!$L$10=3,'Excerpt WDH'!N42*'Excerpt WDH'!$O42/100,IF('Excerpt WDH'!$L$10=4,'Excerpt WDH'!N42*'Excerpt WDH'!N$51/100," "))))),0),"")</f>
      </c>
      <c r="O13" s="61">
        <f>IF(B13&gt;'Excerpt WDH'!$E$13,"",SUM(C13:N13))</f>
        <v>1532</v>
      </c>
      <c r="P13" s="29"/>
    </row>
    <row r="14" spans="1:16" ht="12.75">
      <c r="A14" s="29"/>
      <c r="B14" s="264">
        <f>'Excerpt WDH'!B43</f>
        <v>7</v>
      </c>
      <c r="C14" s="45">
        <f>IF(AND(C$9&lt;'Excerpt WDH'!$E$18+0.5,$B14&lt;'Excerpt WDH'!$E$11+0.5),ROUND((IF('Excerpt WDH'!$L$10=1,'Excerpt WDH'!C43,IF('Excerpt WDH'!$L$10=2,'Excerpt WDH'!C43*$E$3/100,IF('Excerpt WDH'!$L$10=3,'Excerpt WDH'!C43*'Excerpt WDH'!$O43/100,IF('Excerpt WDH'!$L$10=4,'Excerpt WDH'!C43*'Excerpt WDH'!C$51/100," "))))),0),"")</f>
        <v>220</v>
      </c>
      <c r="D14" s="46">
        <f>IF(AND(D$9&lt;'Excerpt WDH'!$E$18+0.5,$B14&lt;'Excerpt WDH'!$E$11+0.5),ROUND((IF('Excerpt WDH'!$L$10=1,'Excerpt WDH'!D43,IF('Excerpt WDH'!$L$10=2,'Excerpt WDH'!D43*$E$3/100,IF('Excerpt WDH'!$L$10=3,'Excerpt WDH'!D43*'Excerpt WDH'!$O43/100,IF('Excerpt WDH'!$L$10=4,'Excerpt WDH'!D43*'Excerpt WDH'!D$51/100," "))))),0),"")</f>
        <v>309</v>
      </c>
      <c r="E14" s="46">
        <f>IF(AND(E$9&lt;'Excerpt WDH'!$E$18+0.5,$B14&lt;'Excerpt WDH'!$E$11+0.5),ROUND((IF('Excerpt WDH'!$L$10=1,'Excerpt WDH'!E43,IF('Excerpt WDH'!$L$10=2,'Excerpt WDH'!E43*$E$3/100,IF('Excerpt WDH'!$L$10=3,'Excerpt WDH'!E43*'Excerpt WDH'!$O43/100,IF('Excerpt WDH'!$L$10=4,'Excerpt WDH'!E43*'Excerpt WDH'!E$51/100," "))))),0),"")</f>
        <v>318</v>
      </c>
      <c r="F14" s="46">
        <f>IF(AND(F$9&lt;'Excerpt WDH'!$E$18+0.5,$B14&lt;'Excerpt WDH'!$E$11+0.5),ROUND((IF('Excerpt WDH'!$L$10=1,'Excerpt WDH'!F43,IF('Excerpt WDH'!$L$10=2,'Excerpt WDH'!F43*$E$3/100,IF('Excerpt WDH'!$L$10=3,'Excerpt WDH'!F43*'Excerpt WDH'!$O43/100,IF('Excerpt WDH'!$L$10=4,'Excerpt WDH'!F43*'Excerpt WDH'!F$51/100," "))))),0),"")</f>
      </c>
      <c r="G14" s="46">
        <f>IF(AND(G$9&lt;'Excerpt WDH'!$E$18+0.5,$B14&lt;'Excerpt WDH'!$E$11+0.5),ROUND((IF('Excerpt WDH'!$L$10=1,'Excerpt WDH'!G43,IF('Excerpt WDH'!$L$10=2,'Excerpt WDH'!G43*$E$3/100,IF('Excerpt WDH'!$L$10=3,'Excerpt WDH'!G43*'Excerpt WDH'!$O43/100,IF('Excerpt WDH'!$L$10=4,'Excerpt WDH'!G43*'Excerpt WDH'!G$51/100," "))))),0),"")</f>
      </c>
      <c r="H14" s="46">
        <f>IF(AND(H$9&lt;'Excerpt WDH'!$E$18+0.5,$B14&lt;'Excerpt WDH'!$E$11+0.5),ROUND((IF('Excerpt WDH'!$L$10=1,'Excerpt WDH'!H43,IF('Excerpt WDH'!$L$10=2,'Excerpt WDH'!H43*$E$3/100,IF('Excerpt WDH'!$L$10=3,'Excerpt WDH'!H43*'Excerpt WDH'!$O43/100,IF('Excerpt WDH'!$L$10=4,'Excerpt WDH'!H43*'Excerpt WDH'!H$51/100," "))))),0),"")</f>
      </c>
      <c r="I14" s="46">
        <f>IF(AND(I$9&lt;'Excerpt WDH'!$E$18+0.5,$B14&lt;'Excerpt WDH'!$E$11+0.5),ROUND((IF('Excerpt WDH'!$L$10=1,'Excerpt WDH'!I43,IF('Excerpt WDH'!$L$10=2,'Excerpt WDH'!I43*$E$3/100,IF('Excerpt WDH'!$L$10=3,'Excerpt WDH'!I43*'Excerpt WDH'!$O43/100,IF('Excerpt WDH'!$L$10=4,'Excerpt WDH'!I43*'Excerpt WDH'!I$51/100," "))))),0),"")</f>
      </c>
      <c r="J14" s="46">
        <f>IF(AND(J$9&lt;'Excerpt WDH'!$E$18+0.5,$B14&lt;'Excerpt WDH'!$E$11+0.5),ROUND((IF('Excerpt WDH'!$L$10=1,'Excerpt WDH'!J43,IF('Excerpt WDH'!$L$10=2,'Excerpt WDH'!J43*$E$3/100,IF('Excerpt WDH'!$L$10=3,'Excerpt WDH'!J43*'Excerpt WDH'!$O43/100,IF('Excerpt WDH'!$L$10=4,'Excerpt WDH'!J43*'Excerpt WDH'!J$51/100," "))))),0),"")</f>
      </c>
      <c r="K14" s="46">
        <f>IF(AND(K$9&lt;'Excerpt WDH'!$E$18+0.5,$B14&lt;'Excerpt WDH'!$E$11+0.5),ROUND((IF('Excerpt WDH'!$L$10=1,'Excerpt WDH'!K43,IF('Excerpt WDH'!$L$10=2,'Excerpt WDH'!K43*$E$3/100,IF('Excerpt WDH'!$L$10=3,'Excerpt WDH'!K43*'Excerpt WDH'!$O43/100,IF('Excerpt WDH'!$L$10=4,'Excerpt WDH'!K43*'Excerpt WDH'!K$51/100," "))))),0),"")</f>
      </c>
      <c r="L14" s="46">
        <f>IF(AND(L$9&lt;'Excerpt WDH'!$E$18+0.5,$B14&lt;'Excerpt WDH'!$E$11+0.5),ROUND((IF('Excerpt WDH'!$L$10=1,'Excerpt WDH'!L43,IF('Excerpt WDH'!$L$10=2,'Excerpt WDH'!L43*$E$3/100,IF('Excerpt WDH'!$L$10=3,'Excerpt WDH'!L43*'Excerpt WDH'!$O43/100,IF('Excerpt WDH'!$L$10=4,'Excerpt WDH'!L43*'Excerpt WDH'!L$51/100," "))))),0),"")</f>
      </c>
      <c r="M14" s="46">
        <f>IF(AND(M$9&lt;'Excerpt WDH'!$E$18+0.5,$B14&lt;'Excerpt WDH'!$E$11+0.5),ROUND((IF('Excerpt WDH'!$L$10=1,'Excerpt WDH'!M43,IF('Excerpt WDH'!$L$10=2,'Excerpt WDH'!M43*$E$3/100,IF('Excerpt WDH'!$L$10=3,'Excerpt WDH'!M43*'Excerpt WDH'!$O43/100,IF('Excerpt WDH'!$L$10=4,'Excerpt WDH'!M43*'Excerpt WDH'!M$51/100," "))))),0),"")</f>
      </c>
      <c r="N14" s="268">
        <f>IF(AND(N$9&lt;'Excerpt WDH'!$E$18+0.5,$B14&lt;'Excerpt WDH'!$E$11+0.5),ROUND((IF('Excerpt WDH'!$L$10=1,'Excerpt WDH'!N43,IF('Excerpt WDH'!$L$10=2,'Excerpt WDH'!N43*$E$3/100,IF('Excerpt WDH'!$L$10=3,'Excerpt WDH'!N43*'Excerpt WDH'!$O43/100,IF('Excerpt WDH'!$L$10=4,'Excerpt WDH'!N43*'Excerpt WDH'!N$51/100," "))))),0),"")</f>
      </c>
      <c r="O14" s="61">
        <f>IF(B14&gt;'Excerpt WDH'!$E$13,"",SUM(C14:N14))</f>
        <v>847</v>
      </c>
      <c r="P14" s="29"/>
    </row>
    <row r="15" spans="1:16" ht="12.75">
      <c r="A15" s="29"/>
      <c r="B15" s="264">
        <f>'Excerpt WDH'!B44</f>
        <v>6</v>
      </c>
      <c r="C15" s="45">
        <f>IF(AND(C$9&lt;'Excerpt WDH'!$E$18+0.5,$B15&lt;'Excerpt WDH'!$E$11+0.5),ROUND((IF('Excerpt WDH'!$L$10=1,'Excerpt WDH'!C44,IF('Excerpt WDH'!$L$10=2,'Excerpt WDH'!C44*$E$3/100,IF('Excerpt WDH'!$L$10=3,'Excerpt WDH'!C44*'Excerpt WDH'!$O44/100,IF('Excerpt WDH'!$L$10=4,'Excerpt WDH'!C44*'Excerpt WDH'!C$51/100," "))))),0),"")</f>
        <v>73</v>
      </c>
      <c r="D15" s="46">
        <f>IF(AND(D$9&lt;'Excerpt WDH'!$E$18+0.5,$B15&lt;'Excerpt WDH'!$E$11+0.5),ROUND((IF('Excerpt WDH'!$L$10=1,'Excerpt WDH'!D44,IF('Excerpt WDH'!$L$10=2,'Excerpt WDH'!D44*$E$3/100,IF('Excerpt WDH'!$L$10=3,'Excerpt WDH'!D44*'Excerpt WDH'!$O44/100,IF('Excerpt WDH'!$L$10=4,'Excerpt WDH'!D44*'Excerpt WDH'!D$51/100," "))))),0),"")</f>
        <v>65</v>
      </c>
      <c r="E15" s="46">
        <f>IF(AND(E$9&lt;'Excerpt WDH'!$E$18+0.5,$B15&lt;'Excerpt WDH'!$E$11+0.5),ROUND((IF('Excerpt WDH'!$L$10=1,'Excerpt WDH'!E44,IF('Excerpt WDH'!$L$10=2,'Excerpt WDH'!E44*$E$3/100,IF('Excerpt WDH'!$L$10=3,'Excerpt WDH'!E44*'Excerpt WDH'!$O44/100,IF('Excerpt WDH'!$L$10=4,'Excerpt WDH'!E44*'Excerpt WDH'!E$51/100," "))))),0),"")</f>
        <v>105</v>
      </c>
      <c r="F15" s="46">
        <f>IF(AND(F$9&lt;'Excerpt WDH'!$E$18+0.5,$B15&lt;'Excerpt WDH'!$E$11+0.5),ROUND((IF('Excerpt WDH'!$L$10=1,'Excerpt WDH'!F44,IF('Excerpt WDH'!$L$10=2,'Excerpt WDH'!F44*$E$3/100,IF('Excerpt WDH'!$L$10=3,'Excerpt WDH'!F44*'Excerpt WDH'!$O44/100,IF('Excerpt WDH'!$L$10=4,'Excerpt WDH'!F44*'Excerpt WDH'!F$51/100," "))))),0),"")</f>
      </c>
      <c r="G15" s="46">
        <f>IF(AND(G$9&lt;'Excerpt WDH'!$E$18+0.5,$B15&lt;'Excerpt WDH'!$E$11+0.5),ROUND((IF('Excerpt WDH'!$L$10=1,'Excerpt WDH'!G44,IF('Excerpt WDH'!$L$10=2,'Excerpt WDH'!G44*$E$3/100,IF('Excerpt WDH'!$L$10=3,'Excerpt WDH'!G44*'Excerpt WDH'!$O44/100,IF('Excerpt WDH'!$L$10=4,'Excerpt WDH'!G44*'Excerpt WDH'!G$51/100," "))))),0),"")</f>
      </c>
      <c r="H15" s="46">
        <f>IF(AND(H$9&lt;'Excerpt WDH'!$E$18+0.5,$B15&lt;'Excerpt WDH'!$E$11+0.5),ROUND((IF('Excerpt WDH'!$L$10=1,'Excerpt WDH'!H44,IF('Excerpt WDH'!$L$10=2,'Excerpt WDH'!H44*$E$3/100,IF('Excerpt WDH'!$L$10=3,'Excerpt WDH'!H44*'Excerpt WDH'!$O44/100,IF('Excerpt WDH'!$L$10=4,'Excerpt WDH'!H44*'Excerpt WDH'!H$51/100," "))))),0),"")</f>
      </c>
      <c r="I15" s="46">
        <f>IF(AND(I$9&lt;'Excerpt WDH'!$E$18+0.5,$B15&lt;'Excerpt WDH'!$E$11+0.5),ROUND((IF('Excerpt WDH'!$L$10=1,'Excerpt WDH'!I44,IF('Excerpt WDH'!$L$10=2,'Excerpt WDH'!I44*$E$3/100,IF('Excerpt WDH'!$L$10=3,'Excerpt WDH'!I44*'Excerpt WDH'!$O44/100,IF('Excerpt WDH'!$L$10=4,'Excerpt WDH'!I44*'Excerpt WDH'!I$51/100," "))))),0),"")</f>
      </c>
      <c r="J15" s="46">
        <f>IF(AND(J$9&lt;'Excerpt WDH'!$E$18+0.5,$B15&lt;'Excerpt WDH'!$E$11+0.5),ROUND((IF('Excerpt WDH'!$L$10=1,'Excerpt WDH'!J44,IF('Excerpt WDH'!$L$10=2,'Excerpt WDH'!J44*$E$3/100,IF('Excerpt WDH'!$L$10=3,'Excerpt WDH'!J44*'Excerpt WDH'!$O44/100,IF('Excerpt WDH'!$L$10=4,'Excerpt WDH'!J44*'Excerpt WDH'!J$51/100," "))))),0),"")</f>
      </c>
      <c r="K15" s="46">
        <f>IF(AND(K$9&lt;'Excerpt WDH'!$E$18+0.5,$B15&lt;'Excerpt WDH'!$E$11+0.5),ROUND((IF('Excerpt WDH'!$L$10=1,'Excerpt WDH'!K44,IF('Excerpt WDH'!$L$10=2,'Excerpt WDH'!K44*$E$3/100,IF('Excerpt WDH'!$L$10=3,'Excerpt WDH'!K44*'Excerpt WDH'!$O44/100,IF('Excerpt WDH'!$L$10=4,'Excerpt WDH'!K44*'Excerpt WDH'!K$51/100," "))))),0),"")</f>
      </c>
      <c r="L15" s="46">
        <f>IF(AND(L$9&lt;'Excerpt WDH'!$E$18+0.5,$B15&lt;'Excerpt WDH'!$E$11+0.5),ROUND((IF('Excerpt WDH'!$L$10=1,'Excerpt WDH'!L44,IF('Excerpt WDH'!$L$10=2,'Excerpt WDH'!L44*$E$3/100,IF('Excerpt WDH'!$L$10=3,'Excerpt WDH'!L44*'Excerpt WDH'!$O44/100,IF('Excerpt WDH'!$L$10=4,'Excerpt WDH'!L44*'Excerpt WDH'!L$51/100," "))))),0),"")</f>
      </c>
      <c r="M15" s="46">
        <f>IF(AND(M$9&lt;'Excerpt WDH'!$E$18+0.5,$B15&lt;'Excerpt WDH'!$E$11+0.5),ROUND((IF('Excerpt WDH'!$L$10=1,'Excerpt WDH'!M44,IF('Excerpt WDH'!$L$10=2,'Excerpt WDH'!M44*$E$3/100,IF('Excerpt WDH'!$L$10=3,'Excerpt WDH'!M44*'Excerpt WDH'!$O44/100,IF('Excerpt WDH'!$L$10=4,'Excerpt WDH'!M44*'Excerpt WDH'!M$51/100," "))))),0),"")</f>
      </c>
      <c r="N15" s="268">
        <f>IF(AND(N$9&lt;'Excerpt WDH'!$E$18+0.5,$B15&lt;'Excerpt WDH'!$E$11+0.5),ROUND((IF('Excerpt WDH'!$L$10=1,'Excerpt WDH'!N44,IF('Excerpt WDH'!$L$10=2,'Excerpt WDH'!N44*$E$3/100,IF('Excerpt WDH'!$L$10=3,'Excerpt WDH'!N44*'Excerpt WDH'!$O44/100,IF('Excerpt WDH'!$L$10=4,'Excerpt WDH'!N44*'Excerpt WDH'!N$51/100," "))))),0),"")</f>
      </c>
      <c r="O15" s="61">
        <f>IF(B15&gt;'Excerpt WDH'!$E$13,"",SUM(C15:N15))</f>
        <v>243</v>
      </c>
      <c r="P15" s="29"/>
    </row>
    <row r="16" spans="1:16" ht="12.75">
      <c r="A16" s="29"/>
      <c r="B16" s="264">
        <f>'Excerpt WDH'!B45</f>
        <v>5</v>
      </c>
      <c r="C16" s="45">
        <f>IF(AND(C$9&lt;'Excerpt WDH'!$E$18+0.5,$B16&lt;'Excerpt WDH'!$E$11+0.5),ROUND((IF('Excerpt WDH'!$L$10=1,'Excerpt WDH'!C45,IF('Excerpt WDH'!$L$10=2,'Excerpt WDH'!C45*$E$3/100,IF('Excerpt WDH'!$L$10=3,'Excerpt WDH'!C45*'Excerpt WDH'!$O45/100,IF('Excerpt WDH'!$L$10=4,'Excerpt WDH'!C45*'Excerpt WDH'!C$51/100," "))))),0),"")</f>
        <v>72</v>
      </c>
      <c r="D16" s="46">
        <f>IF(AND(D$9&lt;'Excerpt WDH'!$E$18+0.5,$B16&lt;'Excerpt WDH'!$E$11+0.5),ROUND((IF('Excerpt WDH'!$L$10=1,'Excerpt WDH'!D45,IF('Excerpt WDH'!$L$10=2,'Excerpt WDH'!D45*$E$3/100,IF('Excerpt WDH'!$L$10=3,'Excerpt WDH'!D45*'Excerpt WDH'!$O45/100,IF('Excerpt WDH'!$L$10=4,'Excerpt WDH'!D45*'Excerpt WDH'!D$51/100," "))))),0),"")</f>
        <v>54</v>
      </c>
      <c r="E16" s="46">
        <f>IF(AND(E$9&lt;'Excerpt WDH'!$E$18+0.5,$B16&lt;'Excerpt WDH'!$E$11+0.5),ROUND((IF('Excerpt WDH'!$L$10=1,'Excerpt WDH'!E45,IF('Excerpt WDH'!$L$10=2,'Excerpt WDH'!E45*$E$3/100,IF('Excerpt WDH'!$L$10=3,'Excerpt WDH'!E45*'Excerpt WDH'!$O45/100,IF('Excerpt WDH'!$L$10=4,'Excerpt WDH'!E45*'Excerpt WDH'!E$51/100," "))))),0),"")</f>
        <v>53</v>
      </c>
      <c r="F16" s="46">
        <f>IF(AND(F$9&lt;'Excerpt WDH'!$E$18+0.5,$B16&lt;'Excerpt WDH'!$E$11+0.5),ROUND((IF('Excerpt WDH'!$L$10=1,'Excerpt WDH'!F45,IF('Excerpt WDH'!$L$10=2,'Excerpt WDH'!F45*$E$3/100,IF('Excerpt WDH'!$L$10=3,'Excerpt WDH'!F45*'Excerpt WDH'!$O45/100,IF('Excerpt WDH'!$L$10=4,'Excerpt WDH'!F45*'Excerpt WDH'!F$51/100," "))))),0),"")</f>
      </c>
      <c r="G16" s="46">
        <f>IF(AND(G$9&lt;'Excerpt WDH'!$E$18+0.5,$B16&lt;'Excerpt WDH'!$E$11+0.5),ROUND((IF('Excerpt WDH'!$L$10=1,'Excerpt WDH'!G45,IF('Excerpt WDH'!$L$10=2,'Excerpt WDH'!G45*$E$3/100,IF('Excerpt WDH'!$L$10=3,'Excerpt WDH'!G45*'Excerpt WDH'!$O45/100,IF('Excerpt WDH'!$L$10=4,'Excerpt WDH'!G45*'Excerpt WDH'!G$51/100," "))))),0),"")</f>
      </c>
      <c r="H16" s="46">
        <f>IF(AND(H$9&lt;'Excerpt WDH'!$E$18+0.5,$B16&lt;'Excerpt WDH'!$E$11+0.5),ROUND((IF('Excerpt WDH'!$L$10=1,'Excerpt WDH'!H45,IF('Excerpt WDH'!$L$10=2,'Excerpt WDH'!H45*$E$3/100,IF('Excerpt WDH'!$L$10=3,'Excerpt WDH'!H45*'Excerpt WDH'!$O45/100,IF('Excerpt WDH'!$L$10=4,'Excerpt WDH'!H45*'Excerpt WDH'!H$51/100," "))))),0),"")</f>
      </c>
      <c r="I16" s="46">
        <f>IF(AND(I$9&lt;'Excerpt WDH'!$E$18+0.5,$B16&lt;'Excerpt WDH'!$E$11+0.5),ROUND((IF('Excerpt WDH'!$L$10=1,'Excerpt WDH'!I45,IF('Excerpt WDH'!$L$10=2,'Excerpt WDH'!I45*$E$3/100,IF('Excerpt WDH'!$L$10=3,'Excerpt WDH'!I45*'Excerpt WDH'!$O45/100,IF('Excerpt WDH'!$L$10=4,'Excerpt WDH'!I45*'Excerpt WDH'!I$51/100," "))))),0),"")</f>
      </c>
      <c r="J16" s="46">
        <f>IF(AND(J$9&lt;'Excerpt WDH'!$E$18+0.5,$B16&lt;'Excerpt WDH'!$E$11+0.5),ROUND((IF('Excerpt WDH'!$L$10=1,'Excerpt WDH'!J45,IF('Excerpt WDH'!$L$10=2,'Excerpt WDH'!J45*$E$3/100,IF('Excerpt WDH'!$L$10=3,'Excerpt WDH'!J45*'Excerpt WDH'!$O45/100,IF('Excerpt WDH'!$L$10=4,'Excerpt WDH'!J45*'Excerpt WDH'!J$51/100," "))))),0),"")</f>
      </c>
      <c r="K16" s="46">
        <f>IF(AND(K$9&lt;'Excerpt WDH'!$E$18+0.5,$B16&lt;'Excerpt WDH'!$E$11+0.5),ROUND((IF('Excerpt WDH'!$L$10=1,'Excerpt WDH'!K45,IF('Excerpt WDH'!$L$10=2,'Excerpt WDH'!K45*$E$3/100,IF('Excerpt WDH'!$L$10=3,'Excerpt WDH'!K45*'Excerpt WDH'!$O45/100,IF('Excerpt WDH'!$L$10=4,'Excerpt WDH'!K45*'Excerpt WDH'!K$51/100," "))))),0),"")</f>
      </c>
      <c r="L16" s="46">
        <f>IF(AND(L$9&lt;'Excerpt WDH'!$E$18+0.5,$B16&lt;'Excerpt WDH'!$E$11+0.5),ROUND((IF('Excerpt WDH'!$L$10=1,'Excerpt WDH'!L45,IF('Excerpt WDH'!$L$10=2,'Excerpt WDH'!L45*$E$3/100,IF('Excerpt WDH'!$L$10=3,'Excerpt WDH'!L45*'Excerpt WDH'!$O45/100,IF('Excerpt WDH'!$L$10=4,'Excerpt WDH'!L45*'Excerpt WDH'!L$51/100," "))))),0),"")</f>
      </c>
      <c r="M16" s="46">
        <f>IF(AND(M$9&lt;'Excerpt WDH'!$E$18+0.5,$B16&lt;'Excerpt WDH'!$E$11+0.5),ROUND((IF('Excerpt WDH'!$L$10=1,'Excerpt WDH'!M45,IF('Excerpt WDH'!$L$10=2,'Excerpt WDH'!M45*$E$3/100,IF('Excerpt WDH'!$L$10=3,'Excerpt WDH'!M45*'Excerpt WDH'!$O45/100,IF('Excerpt WDH'!$L$10=4,'Excerpt WDH'!M45*'Excerpt WDH'!M$51/100," "))))),0),"")</f>
      </c>
      <c r="N16" s="268">
        <f>IF(AND(N$9&lt;'Excerpt WDH'!$E$18+0.5,$B16&lt;'Excerpt WDH'!$E$11+0.5),ROUND((IF('Excerpt WDH'!$L$10=1,'Excerpt WDH'!N45,IF('Excerpt WDH'!$L$10=2,'Excerpt WDH'!N45*$E$3/100,IF('Excerpt WDH'!$L$10=3,'Excerpt WDH'!N45*'Excerpt WDH'!$O45/100,IF('Excerpt WDH'!$L$10=4,'Excerpt WDH'!N45*'Excerpt WDH'!N$51/100," "))))),0),"")</f>
      </c>
      <c r="O16" s="61">
        <f>IF(B16&gt;'Excerpt WDH'!$E$13,"",SUM(C16:N16))</f>
        <v>179</v>
      </c>
      <c r="P16" s="29"/>
    </row>
    <row r="17" spans="1:16" ht="12.75">
      <c r="A17" s="29"/>
      <c r="B17" s="264">
        <f>'Excerpt WDH'!B46</f>
        <v>4</v>
      </c>
      <c r="C17" s="45">
        <f>IF(AND(C$9&lt;'Excerpt WDH'!$E$18+0.5,$B17&lt;'Excerpt WDH'!$E$11+0.5),ROUND((IF('Excerpt WDH'!$L$10=1,'Excerpt WDH'!C46,IF('Excerpt WDH'!$L$10=2,'Excerpt WDH'!C46*$E$3/100,IF('Excerpt WDH'!$L$10=3,'Excerpt WDH'!C46*'Excerpt WDH'!$O46/100,IF('Excerpt WDH'!$L$10=4,'Excerpt WDH'!C46*'Excerpt WDH'!C$51/100," "))))),0),"")</f>
        <v>16</v>
      </c>
      <c r="D17" s="46">
        <f>IF(AND(D$9&lt;'Excerpt WDH'!$E$18+0.5,$B17&lt;'Excerpt WDH'!$E$11+0.5),ROUND((IF('Excerpt WDH'!$L$10=1,'Excerpt WDH'!D46,IF('Excerpt WDH'!$L$10=2,'Excerpt WDH'!D46*$E$3/100,IF('Excerpt WDH'!$L$10=3,'Excerpt WDH'!D46*'Excerpt WDH'!$O46/100,IF('Excerpt WDH'!$L$10=4,'Excerpt WDH'!D46*'Excerpt WDH'!D$51/100," "))))),0),"")</f>
        <v>10</v>
      </c>
      <c r="E17" s="46">
        <f>IF(AND(E$9&lt;'Excerpt WDH'!$E$18+0.5,$B17&lt;'Excerpt WDH'!$E$11+0.5),ROUND((IF('Excerpt WDH'!$L$10=1,'Excerpt WDH'!E46,IF('Excerpt WDH'!$L$10=2,'Excerpt WDH'!E46*$E$3/100,IF('Excerpt WDH'!$L$10=3,'Excerpt WDH'!E46*'Excerpt WDH'!$O46/100,IF('Excerpt WDH'!$L$10=4,'Excerpt WDH'!E46*'Excerpt WDH'!E$51/100," "))))),0),"")</f>
        <v>11</v>
      </c>
      <c r="F17" s="46">
        <f>IF(AND(F$9&lt;'Excerpt WDH'!$E$18+0.5,$B17&lt;'Excerpt WDH'!$E$11+0.5),ROUND((IF('Excerpt WDH'!$L$10=1,'Excerpt WDH'!F46,IF('Excerpt WDH'!$L$10=2,'Excerpt WDH'!F46*$E$3/100,IF('Excerpt WDH'!$L$10=3,'Excerpt WDH'!F46*'Excerpt WDH'!$O46/100,IF('Excerpt WDH'!$L$10=4,'Excerpt WDH'!F46*'Excerpt WDH'!F$51/100," "))))),0),"")</f>
      </c>
      <c r="G17" s="46">
        <f>IF(AND(G$9&lt;'Excerpt WDH'!$E$18+0.5,$B17&lt;'Excerpt WDH'!$E$11+0.5),ROUND((IF('Excerpt WDH'!$L$10=1,'Excerpt WDH'!G46,IF('Excerpt WDH'!$L$10=2,'Excerpt WDH'!G46*$E$3/100,IF('Excerpt WDH'!$L$10=3,'Excerpt WDH'!G46*'Excerpt WDH'!$O46/100,IF('Excerpt WDH'!$L$10=4,'Excerpt WDH'!G46*'Excerpt WDH'!G$51/100," "))))),0),"")</f>
      </c>
      <c r="H17" s="46">
        <f>IF(AND(H$9&lt;'Excerpt WDH'!$E$18+0.5,$B17&lt;'Excerpt WDH'!$E$11+0.5),ROUND((IF('Excerpt WDH'!$L$10=1,'Excerpt WDH'!H46,IF('Excerpt WDH'!$L$10=2,'Excerpt WDH'!H46*$E$3/100,IF('Excerpt WDH'!$L$10=3,'Excerpt WDH'!H46*'Excerpt WDH'!$O46/100,IF('Excerpt WDH'!$L$10=4,'Excerpt WDH'!H46*'Excerpt WDH'!H$51/100," "))))),0),"")</f>
      </c>
      <c r="I17" s="46">
        <f>IF(AND(I$9&lt;'Excerpt WDH'!$E$18+0.5,$B17&lt;'Excerpt WDH'!$E$11+0.5),ROUND((IF('Excerpt WDH'!$L$10=1,'Excerpt WDH'!I46,IF('Excerpt WDH'!$L$10=2,'Excerpt WDH'!I46*$E$3/100,IF('Excerpt WDH'!$L$10=3,'Excerpt WDH'!I46*'Excerpt WDH'!$O46/100,IF('Excerpt WDH'!$L$10=4,'Excerpt WDH'!I46*'Excerpt WDH'!I$51/100," "))))),0),"")</f>
      </c>
      <c r="J17" s="46">
        <f>IF(AND(J$9&lt;'Excerpt WDH'!$E$18+0.5,$B17&lt;'Excerpt WDH'!$E$11+0.5),ROUND((IF('Excerpt WDH'!$L$10=1,'Excerpt WDH'!J46,IF('Excerpt WDH'!$L$10=2,'Excerpt WDH'!J46*$E$3/100,IF('Excerpt WDH'!$L$10=3,'Excerpt WDH'!J46*'Excerpt WDH'!$O46/100,IF('Excerpt WDH'!$L$10=4,'Excerpt WDH'!J46*'Excerpt WDH'!J$51/100," "))))),0),"")</f>
      </c>
      <c r="K17" s="46">
        <f>IF(AND(K$9&lt;'Excerpt WDH'!$E$18+0.5,$B17&lt;'Excerpt WDH'!$E$11+0.5),ROUND((IF('Excerpt WDH'!$L$10=1,'Excerpt WDH'!K46,IF('Excerpt WDH'!$L$10=2,'Excerpt WDH'!K46*$E$3/100,IF('Excerpt WDH'!$L$10=3,'Excerpt WDH'!K46*'Excerpt WDH'!$O46/100,IF('Excerpt WDH'!$L$10=4,'Excerpt WDH'!K46*'Excerpt WDH'!K$51/100," "))))),0),"")</f>
      </c>
      <c r="L17" s="46">
        <f>IF(AND(L$9&lt;'Excerpt WDH'!$E$18+0.5,$B17&lt;'Excerpt WDH'!$E$11+0.5),ROUND((IF('Excerpt WDH'!$L$10=1,'Excerpt WDH'!L46,IF('Excerpt WDH'!$L$10=2,'Excerpt WDH'!L46*$E$3/100,IF('Excerpt WDH'!$L$10=3,'Excerpt WDH'!L46*'Excerpt WDH'!$O46/100,IF('Excerpt WDH'!$L$10=4,'Excerpt WDH'!L46*'Excerpt WDH'!L$51/100," "))))),0),"")</f>
      </c>
      <c r="M17" s="46">
        <f>IF(AND(M$9&lt;'Excerpt WDH'!$E$18+0.5,$B17&lt;'Excerpt WDH'!$E$11+0.5),ROUND((IF('Excerpt WDH'!$L$10=1,'Excerpt WDH'!M46,IF('Excerpt WDH'!$L$10=2,'Excerpt WDH'!M46*$E$3/100,IF('Excerpt WDH'!$L$10=3,'Excerpt WDH'!M46*'Excerpt WDH'!$O46/100,IF('Excerpt WDH'!$L$10=4,'Excerpt WDH'!M46*'Excerpt WDH'!M$51/100," "))))),0),"")</f>
      </c>
      <c r="N17" s="268">
        <f>IF(AND(N$9&lt;'Excerpt WDH'!$E$18+0.5,$B17&lt;'Excerpt WDH'!$E$11+0.5),ROUND((IF('Excerpt WDH'!$L$10=1,'Excerpt WDH'!N46,IF('Excerpt WDH'!$L$10=2,'Excerpt WDH'!N46*$E$3/100,IF('Excerpt WDH'!$L$10=3,'Excerpt WDH'!N46*'Excerpt WDH'!$O46/100,IF('Excerpt WDH'!$L$10=4,'Excerpt WDH'!N46*'Excerpt WDH'!N$51/100," "))))),0),"")</f>
      </c>
      <c r="O17" s="61">
        <f>IF(B17&gt;'Excerpt WDH'!$E$13,"",SUM(C17:N17))</f>
        <v>37</v>
      </c>
      <c r="P17" s="29"/>
    </row>
    <row r="18" spans="1:16" ht="12.75">
      <c r="A18" s="29"/>
      <c r="B18" s="264">
        <f>'Excerpt WDH'!B47</f>
        <v>3</v>
      </c>
      <c r="C18" s="45">
        <f>IF(AND(C$9&lt;'Excerpt WDH'!$E$18+0.5,$B18&lt;'Excerpt WDH'!$E$11+0.5),ROUND((IF('Excerpt WDH'!$L$10=1,'Excerpt WDH'!C47,IF('Excerpt WDH'!$L$10=2,'Excerpt WDH'!C47*$E$3/100,IF('Excerpt WDH'!$L$10=3,'Excerpt WDH'!C47*'Excerpt WDH'!$O47/100,IF('Excerpt WDH'!$L$10=4,'Excerpt WDH'!C47*'Excerpt WDH'!C$51/100," "))))),0),"")</f>
        <v>10</v>
      </c>
      <c r="D18" s="46">
        <f>IF(AND(D$9&lt;'Excerpt WDH'!$E$18+0.5,$B18&lt;'Excerpt WDH'!$E$11+0.5),ROUND((IF('Excerpt WDH'!$L$10=1,'Excerpt WDH'!D47,IF('Excerpt WDH'!$L$10=2,'Excerpt WDH'!D47*$E$3/100,IF('Excerpt WDH'!$L$10=3,'Excerpt WDH'!D47*'Excerpt WDH'!$O47/100,IF('Excerpt WDH'!$L$10=4,'Excerpt WDH'!D47*'Excerpt WDH'!D$51/100," "))))),0),"")</f>
        <v>3</v>
      </c>
      <c r="E18" s="46">
        <f>IF(AND(E$9&lt;'Excerpt WDH'!$E$18+0.5,$B18&lt;'Excerpt WDH'!$E$11+0.5),ROUND((IF('Excerpt WDH'!$L$10=1,'Excerpt WDH'!E47,IF('Excerpt WDH'!$L$10=2,'Excerpt WDH'!E47*$E$3/100,IF('Excerpt WDH'!$L$10=3,'Excerpt WDH'!E47*'Excerpt WDH'!$O47/100,IF('Excerpt WDH'!$L$10=4,'Excerpt WDH'!E47*'Excerpt WDH'!E$51/100," "))))),0),"")</f>
        <v>3</v>
      </c>
      <c r="F18" s="46">
        <f>IF(AND(F$9&lt;'Excerpt WDH'!$E$18+0.5,$B18&lt;'Excerpt WDH'!$E$11+0.5),ROUND((IF('Excerpt WDH'!$L$10=1,'Excerpt WDH'!F47,IF('Excerpt WDH'!$L$10=2,'Excerpt WDH'!F47*$E$3/100,IF('Excerpt WDH'!$L$10=3,'Excerpt WDH'!F47*'Excerpt WDH'!$O47/100,IF('Excerpt WDH'!$L$10=4,'Excerpt WDH'!F47*'Excerpt WDH'!F$51/100," "))))),0),"")</f>
      </c>
      <c r="G18" s="46">
        <f>IF(AND(G$9&lt;'Excerpt WDH'!$E$18+0.5,$B18&lt;'Excerpt WDH'!$E$11+0.5),ROUND((IF('Excerpt WDH'!$L$10=1,'Excerpt WDH'!G47,IF('Excerpt WDH'!$L$10=2,'Excerpt WDH'!G47*$E$3/100,IF('Excerpt WDH'!$L$10=3,'Excerpt WDH'!G47*'Excerpt WDH'!$O47/100,IF('Excerpt WDH'!$L$10=4,'Excerpt WDH'!G47*'Excerpt WDH'!G$51/100," "))))),0),"")</f>
      </c>
      <c r="H18" s="46">
        <f>IF(AND(H$9&lt;'Excerpt WDH'!$E$18+0.5,$B18&lt;'Excerpt WDH'!$E$11+0.5),ROUND((IF('Excerpt WDH'!$L$10=1,'Excerpt WDH'!H47,IF('Excerpt WDH'!$L$10=2,'Excerpt WDH'!H47*$E$3/100,IF('Excerpt WDH'!$L$10=3,'Excerpt WDH'!H47*'Excerpt WDH'!$O47/100,IF('Excerpt WDH'!$L$10=4,'Excerpt WDH'!H47*'Excerpt WDH'!H$51/100," "))))),0),"")</f>
      </c>
      <c r="I18" s="46">
        <f>IF(AND(I$9&lt;'Excerpt WDH'!$E$18+0.5,$B18&lt;'Excerpt WDH'!$E$11+0.5),ROUND((IF('Excerpt WDH'!$L$10=1,'Excerpt WDH'!I47,IF('Excerpt WDH'!$L$10=2,'Excerpt WDH'!I47*$E$3/100,IF('Excerpt WDH'!$L$10=3,'Excerpt WDH'!I47*'Excerpt WDH'!$O47/100,IF('Excerpt WDH'!$L$10=4,'Excerpt WDH'!I47*'Excerpt WDH'!I$51/100," "))))),0),"")</f>
      </c>
      <c r="J18" s="46">
        <f>IF(AND(J$9&lt;'Excerpt WDH'!$E$18+0.5,$B18&lt;'Excerpt WDH'!$E$11+0.5),ROUND((IF('Excerpt WDH'!$L$10=1,'Excerpt WDH'!J47,IF('Excerpt WDH'!$L$10=2,'Excerpt WDH'!J47*$E$3/100,IF('Excerpt WDH'!$L$10=3,'Excerpt WDH'!J47*'Excerpt WDH'!$O47/100,IF('Excerpt WDH'!$L$10=4,'Excerpt WDH'!J47*'Excerpt WDH'!J$51/100," "))))),0),"")</f>
      </c>
      <c r="K18" s="46">
        <f>IF(AND(K$9&lt;'Excerpt WDH'!$E$18+0.5,$B18&lt;'Excerpt WDH'!$E$11+0.5),ROUND((IF('Excerpt WDH'!$L$10=1,'Excerpt WDH'!K47,IF('Excerpt WDH'!$L$10=2,'Excerpt WDH'!K47*$E$3/100,IF('Excerpt WDH'!$L$10=3,'Excerpt WDH'!K47*'Excerpt WDH'!$O47/100,IF('Excerpt WDH'!$L$10=4,'Excerpt WDH'!K47*'Excerpt WDH'!K$51/100," "))))),0),"")</f>
      </c>
      <c r="L18" s="46">
        <f>IF(AND(L$9&lt;'Excerpt WDH'!$E$18+0.5,$B18&lt;'Excerpt WDH'!$E$11+0.5),ROUND((IF('Excerpt WDH'!$L$10=1,'Excerpt WDH'!L47,IF('Excerpt WDH'!$L$10=2,'Excerpt WDH'!L47*$E$3/100,IF('Excerpt WDH'!$L$10=3,'Excerpt WDH'!L47*'Excerpt WDH'!$O47/100,IF('Excerpt WDH'!$L$10=4,'Excerpt WDH'!L47*'Excerpt WDH'!L$51/100," "))))),0),"")</f>
      </c>
      <c r="M18" s="46">
        <f>IF(AND(M$9&lt;'Excerpt WDH'!$E$18+0.5,$B18&lt;'Excerpt WDH'!$E$11+0.5),ROUND((IF('Excerpt WDH'!$L$10=1,'Excerpt WDH'!M47,IF('Excerpt WDH'!$L$10=2,'Excerpt WDH'!M47*$E$3/100,IF('Excerpt WDH'!$L$10=3,'Excerpt WDH'!M47*'Excerpt WDH'!$O47/100,IF('Excerpt WDH'!$L$10=4,'Excerpt WDH'!M47*'Excerpt WDH'!M$51/100," "))))),0),"")</f>
      </c>
      <c r="N18" s="268">
        <f>IF(AND(N$9&lt;'Excerpt WDH'!$E$18+0.5,$B18&lt;'Excerpt WDH'!$E$11+0.5),ROUND((IF('Excerpt WDH'!$L$10=1,'Excerpt WDH'!N47,IF('Excerpt WDH'!$L$10=2,'Excerpt WDH'!N47*$E$3/100,IF('Excerpt WDH'!$L$10=3,'Excerpt WDH'!N47*'Excerpt WDH'!$O47/100,IF('Excerpt WDH'!$L$10=4,'Excerpt WDH'!N47*'Excerpt WDH'!N$51/100," "))))),0),"")</f>
      </c>
      <c r="O18" s="61">
        <f>IF(B18&gt;'Excerpt WDH'!$E$13,"",SUM(C18:N18))</f>
        <v>16</v>
      </c>
      <c r="P18" s="29"/>
    </row>
    <row r="19" spans="1:16" ht="12.75">
      <c r="A19" s="112" t="s">
        <v>66</v>
      </c>
      <c r="B19" s="264">
        <f>'Excerpt WDH'!B48</f>
        <v>2</v>
      </c>
      <c r="C19" s="45">
        <f>IF(AND(C$9&lt;'Excerpt WDH'!$E$18+0.5,$B19&lt;'Excerpt WDH'!$E$11+0.5),ROUND((IF('Excerpt WDH'!$L$10=1,'Excerpt WDH'!C48,IF('Excerpt WDH'!$L$10=2,'Excerpt WDH'!C48*$E$3/100,IF('Excerpt WDH'!$L$10=3,'Excerpt WDH'!C48*'Excerpt WDH'!$O48/100,IF('Excerpt WDH'!$L$10=4,'Excerpt WDH'!C48*'Excerpt WDH'!C$51/100," "))))),0),"")</f>
        <v>6</v>
      </c>
      <c r="D19" s="46">
        <f>IF(AND(D$9&lt;'Excerpt WDH'!$E$18+0.5,$B19&lt;'Excerpt WDH'!$E$11+0.5),ROUND((IF('Excerpt WDH'!$L$10=1,'Excerpt WDH'!D48,IF('Excerpt WDH'!$L$10=2,'Excerpt WDH'!D48*$E$3/100,IF('Excerpt WDH'!$L$10=3,'Excerpt WDH'!D48*'Excerpt WDH'!$O48/100,IF('Excerpt WDH'!$L$10=4,'Excerpt WDH'!D48*'Excerpt WDH'!D$51/100," "))))),0),"")</f>
        <v>2</v>
      </c>
      <c r="E19" s="46">
        <f>IF(AND(E$9&lt;'Excerpt WDH'!$E$18+0.5,$B19&lt;'Excerpt WDH'!$E$11+0.5),ROUND((IF('Excerpt WDH'!$L$10=1,'Excerpt WDH'!E48,IF('Excerpt WDH'!$L$10=2,'Excerpt WDH'!E48*$E$3/100,IF('Excerpt WDH'!$L$10=3,'Excerpt WDH'!E48*'Excerpt WDH'!$O48/100,IF('Excerpt WDH'!$L$10=4,'Excerpt WDH'!E48*'Excerpt WDH'!E$51/100," "))))),0),"")</f>
        <v>5</v>
      </c>
      <c r="F19" s="46">
        <f>IF(AND(F$9&lt;'Excerpt WDH'!$E$18+0.5,$B19&lt;'Excerpt WDH'!$E$11+0.5),ROUND((IF('Excerpt WDH'!$L$10=1,'Excerpt WDH'!F48,IF('Excerpt WDH'!$L$10=2,'Excerpt WDH'!F48*$E$3/100,IF('Excerpt WDH'!$L$10=3,'Excerpt WDH'!F48*'Excerpt WDH'!$O48/100,IF('Excerpt WDH'!$L$10=4,'Excerpt WDH'!F48*'Excerpt WDH'!F$51/100," "))))),0),"")</f>
      </c>
      <c r="G19" s="46">
        <f>IF(AND(G$9&lt;'Excerpt WDH'!$E$18+0.5,$B19&lt;'Excerpt WDH'!$E$11+0.5),ROUND((IF('Excerpt WDH'!$L$10=1,'Excerpt WDH'!G48,IF('Excerpt WDH'!$L$10=2,'Excerpt WDH'!G48*$E$3/100,IF('Excerpt WDH'!$L$10=3,'Excerpt WDH'!G48*'Excerpt WDH'!$O48/100,IF('Excerpt WDH'!$L$10=4,'Excerpt WDH'!G48*'Excerpt WDH'!G$51/100," "))))),0),"")</f>
      </c>
      <c r="H19" s="46">
        <f>IF(AND(H$9&lt;'Excerpt WDH'!$E$18+0.5,$B19&lt;'Excerpt WDH'!$E$11+0.5),ROUND((IF('Excerpt WDH'!$L$10=1,'Excerpt WDH'!H48,IF('Excerpt WDH'!$L$10=2,'Excerpt WDH'!H48*$E$3/100,IF('Excerpt WDH'!$L$10=3,'Excerpt WDH'!H48*'Excerpt WDH'!$O48/100,IF('Excerpt WDH'!$L$10=4,'Excerpt WDH'!H48*'Excerpt WDH'!H$51/100," "))))),0),"")</f>
      </c>
      <c r="I19" s="46">
        <f>IF(AND(I$9&lt;'Excerpt WDH'!$E$18+0.5,$B19&lt;'Excerpt WDH'!$E$11+0.5),ROUND((IF('Excerpt WDH'!$L$10=1,'Excerpt WDH'!I48,IF('Excerpt WDH'!$L$10=2,'Excerpt WDH'!I48*$E$3/100,IF('Excerpt WDH'!$L$10=3,'Excerpt WDH'!I48*'Excerpt WDH'!$O48/100,IF('Excerpt WDH'!$L$10=4,'Excerpt WDH'!I48*'Excerpt WDH'!I$51/100," "))))),0),"")</f>
      </c>
      <c r="J19" s="46">
        <f>IF(AND(J$9&lt;'Excerpt WDH'!$E$18+0.5,$B19&lt;'Excerpt WDH'!$E$11+0.5),ROUND((IF('Excerpt WDH'!$L$10=1,'Excerpt WDH'!J48,IF('Excerpt WDH'!$L$10=2,'Excerpt WDH'!J48*$E$3/100,IF('Excerpt WDH'!$L$10=3,'Excerpt WDH'!J48*'Excerpt WDH'!$O48/100,IF('Excerpt WDH'!$L$10=4,'Excerpt WDH'!J48*'Excerpt WDH'!J$51/100," "))))),0),"")</f>
      </c>
      <c r="K19" s="46">
        <f>IF(AND(K$9&lt;'Excerpt WDH'!$E$18+0.5,$B19&lt;'Excerpt WDH'!$E$11+0.5),ROUND((IF('Excerpt WDH'!$L$10=1,'Excerpt WDH'!K48,IF('Excerpt WDH'!$L$10=2,'Excerpt WDH'!K48*$E$3/100,IF('Excerpt WDH'!$L$10=3,'Excerpt WDH'!K48*'Excerpt WDH'!$O48/100,IF('Excerpt WDH'!$L$10=4,'Excerpt WDH'!K48*'Excerpt WDH'!K$51/100," "))))),0),"")</f>
      </c>
      <c r="L19" s="46">
        <f>IF(AND(L$9&lt;'Excerpt WDH'!$E$18+0.5,$B19&lt;'Excerpt WDH'!$E$11+0.5),ROUND((IF('Excerpt WDH'!$L$10=1,'Excerpt WDH'!L48,IF('Excerpt WDH'!$L$10=2,'Excerpt WDH'!L48*$E$3/100,IF('Excerpt WDH'!$L$10=3,'Excerpt WDH'!L48*'Excerpt WDH'!$O48/100,IF('Excerpt WDH'!$L$10=4,'Excerpt WDH'!L48*'Excerpt WDH'!L$51/100," "))))),0),"")</f>
      </c>
      <c r="M19" s="46">
        <f>IF(AND(M$9&lt;'Excerpt WDH'!$E$18+0.5,$B19&lt;'Excerpt WDH'!$E$11+0.5),ROUND((IF('Excerpt WDH'!$L$10=1,'Excerpt WDH'!M48,IF('Excerpt WDH'!$L$10=2,'Excerpt WDH'!M48*$E$3/100,IF('Excerpt WDH'!$L$10=3,'Excerpt WDH'!M48*'Excerpt WDH'!$O48/100,IF('Excerpt WDH'!$L$10=4,'Excerpt WDH'!M48*'Excerpt WDH'!M$51/100," "))))),0),"")</f>
      </c>
      <c r="N19" s="268">
        <f>IF(AND(N$9&lt;'Excerpt WDH'!$E$18+0.5,$B19&lt;'Excerpt WDH'!$E$11+0.5),ROUND((IF('Excerpt WDH'!$L$10=1,'Excerpt WDH'!N48,IF('Excerpt WDH'!$L$10=2,'Excerpt WDH'!N48*$E$3/100,IF('Excerpt WDH'!$L$10=3,'Excerpt WDH'!N48*'Excerpt WDH'!$O48/100,IF('Excerpt WDH'!$L$10=4,'Excerpt WDH'!N48*'Excerpt WDH'!N$51/100," "))))),0),"")</f>
      </c>
      <c r="O19" s="61">
        <f>IF(B19&gt;'Excerpt WDH'!$E$13,"",SUM(C19:N19))</f>
        <v>13</v>
      </c>
      <c r="P19" s="29"/>
    </row>
    <row r="20" spans="1:16" ht="12.75">
      <c r="A20" s="112" t="s">
        <v>65</v>
      </c>
      <c r="B20" s="264">
        <f>'Excerpt WDH'!B49</f>
        <v>1</v>
      </c>
      <c r="C20" s="45">
        <f>IF(AND(C$9&lt;'Excerpt WDH'!$E$18+0.5,$B20&lt;'Excerpt WDH'!$E$11+0.5),ROUND((IF('Excerpt WDH'!$L$10=1,'Excerpt WDH'!C49,IF('Excerpt WDH'!$L$10=2,'Excerpt WDH'!C49*$E$3/100,IF('Excerpt WDH'!$L$10=3,'Excerpt WDH'!C49*'Excerpt WDH'!$O49/100,IF('Excerpt WDH'!$L$10=4,'Excerpt WDH'!C49*'Excerpt WDH'!C$51/100," "))))),0),"")</f>
        <v>1</v>
      </c>
      <c r="D20" s="46">
        <f>IF(AND(D$9&lt;'Excerpt WDH'!$E$18+0.5,$B20&lt;'Excerpt WDH'!$E$11+0.5),ROUND((IF('Excerpt WDH'!$L$10=1,'Excerpt WDH'!D49,IF('Excerpt WDH'!$L$10=2,'Excerpt WDH'!D49*$E$3/100,IF('Excerpt WDH'!$L$10=3,'Excerpt WDH'!D49*'Excerpt WDH'!$O49/100,IF('Excerpt WDH'!$L$10=4,'Excerpt WDH'!D49*'Excerpt WDH'!D$51/100," "))))),0),"")</f>
        <v>2</v>
      </c>
      <c r="E20" s="46">
        <f>IF(AND(E$9&lt;'Excerpt WDH'!$E$18+0.5,$B20&lt;'Excerpt WDH'!$E$11+0.5),ROUND((IF('Excerpt WDH'!$L$10=1,'Excerpt WDH'!E49,IF('Excerpt WDH'!$L$10=2,'Excerpt WDH'!E49*$E$3/100,IF('Excerpt WDH'!$L$10=3,'Excerpt WDH'!E49*'Excerpt WDH'!$O49/100,IF('Excerpt WDH'!$L$10=4,'Excerpt WDH'!E49*'Excerpt WDH'!E$51/100," "))))),0),"")</f>
        <v>0</v>
      </c>
      <c r="F20" s="46">
        <f>IF(AND(F$9&lt;'Excerpt WDH'!$E$18+0.5,$B20&lt;'Excerpt WDH'!$E$11+0.5),ROUND((IF('Excerpt WDH'!$L$10=1,'Excerpt WDH'!F49,IF('Excerpt WDH'!$L$10=2,'Excerpt WDH'!F49*$E$3/100,IF('Excerpt WDH'!$L$10=3,'Excerpt WDH'!F49*'Excerpt WDH'!$O49/100,IF('Excerpt WDH'!$L$10=4,'Excerpt WDH'!F49*'Excerpt WDH'!F$51/100," "))))),0),"")</f>
      </c>
      <c r="G20" s="46">
        <f>IF(AND(G$9&lt;'Excerpt WDH'!$E$18+0.5,$B20&lt;'Excerpt WDH'!$E$11+0.5),ROUND((IF('Excerpt WDH'!$L$10=1,'Excerpt WDH'!G49,IF('Excerpt WDH'!$L$10=2,'Excerpt WDH'!G49*$E$3/100,IF('Excerpt WDH'!$L$10=3,'Excerpt WDH'!G49*'Excerpt WDH'!$O49/100,IF('Excerpt WDH'!$L$10=4,'Excerpt WDH'!G49*'Excerpt WDH'!G$51/100," "))))),0),"")</f>
      </c>
      <c r="H20" s="46">
        <f>IF(AND(H$9&lt;'Excerpt WDH'!$E$18+0.5,$B20&lt;'Excerpt WDH'!$E$11+0.5),ROUND((IF('Excerpt WDH'!$L$10=1,'Excerpt WDH'!H49,IF('Excerpt WDH'!$L$10=2,'Excerpt WDH'!H49*$E$3/100,IF('Excerpt WDH'!$L$10=3,'Excerpt WDH'!H49*'Excerpt WDH'!$O49/100,IF('Excerpt WDH'!$L$10=4,'Excerpt WDH'!H49*'Excerpt WDH'!H$51/100," "))))),0),"")</f>
      </c>
      <c r="I20" s="46">
        <f>IF(AND(I$9&lt;'Excerpt WDH'!$E$18+0.5,$B20&lt;'Excerpt WDH'!$E$11+0.5),ROUND((IF('Excerpt WDH'!$L$10=1,'Excerpt WDH'!I49,IF('Excerpt WDH'!$L$10=2,'Excerpt WDH'!I49*$E$3/100,IF('Excerpt WDH'!$L$10=3,'Excerpt WDH'!I49*'Excerpt WDH'!$O49/100,IF('Excerpt WDH'!$L$10=4,'Excerpt WDH'!I49*'Excerpt WDH'!I$51/100," "))))),0),"")</f>
      </c>
      <c r="J20" s="46">
        <f>IF(AND(J$9&lt;'Excerpt WDH'!$E$18+0.5,$B20&lt;'Excerpt WDH'!$E$11+0.5),ROUND((IF('Excerpt WDH'!$L$10=1,'Excerpt WDH'!J49,IF('Excerpt WDH'!$L$10=2,'Excerpt WDH'!J49*$E$3/100,IF('Excerpt WDH'!$L$10=3,'Excerpt WDH'!J49*'Excerpt WDH'!$O49/100,IF('Excerpt WDH'!$L$10=4,'Excerpt WDH'!J49*'Excerpt WDH'!J$51/100," "))))),0),"")</f>
      </c>
      <c r="K20" s="46">
        <f>IF(AND(K$9&lt;'Excerpt WDH'!$E$18+0.5,$B20&lt;'Excerpt WDH'!$E$11+0.5),ROUND((IF('Excerpt WDH'!$L$10=1,'Excerpt WDH'!K49,IF('Excerpt WDH'!$L$10=2,'Excerpt WDH'!K49*$E$3/100,IF('Excerpt WDH'!$L$10=3,'Excerpt WDH'!K49*'Excerpt WDH'!$O49/100,IF('Excerpt WDH'!$L$10=4,'Excerpt WDH'!K49*'Excerpt WDH'!K$51/100," "))))),0),"")</f>
      </c>
      <c r="L20" s="46">
        <f>IF(AND(L$9&lt;'Excerpt WDH'!$E$18+0.5,$B20&lt;'Excerpt WDH'!$E$11+0.5),ROUND((IF('Excerpt WDH'!$L$10=1,'Excerpt WDH'!L49,IF('Excerpt WDH'!$L$10=2,'Excerpt WDH'!L49*$E$3/100,IF('Excerpt WDH'!$L$10=3,'Excerpt WDH'!L49*'Excerpt WDH'!$O49/100,IF('Excerpt WDH'!$L$10=4,'Excerpt WDH'!L49*'Excerpt WDH'!L$51/100," "))))),0),"")</f>
      </c>
      <c r="M20" s="46">
        <f>IF(AND(M$9&lt;'Excerpt WDH'!$E$18+0.5,$B20&lt;'Excerpt WDH'!$E$11+0.5),ROUND((IF('Excerpt WDH'!$L$10=1,'Excerpt WDH'!M49,IF('Excerpt WDH'!$L$10=2,'Excerpt WDH'!M49*$E$3/100,IF('Excerpt WDH'!$L$10=3,'Excerpt WDH'!M49*'Excerpt WDH'!$O49/100,IF('Excerpt WDH'!$L$10=4,'Excerpt WDH'!M49*'Excerpt WDH'!M$51/100," "))))),0),"")</f>
      </c>
      <c r="N20" s="268">
        <f>IF(AND(N$9&lt;'Excerpt WDH'!$E$18+0.5,$B20&lt;'Excerpt WDH'!$E$11+0.5),ROUND((IF('Excerpt WDH'!$L$10=1,'Excerpt WDH'!N49,IF('Excerpt WDH'!$L$10=2,'Excerpt WDH'!N49*$E$3/100,IF('Excerpt WDH'!$L$10=3,'Excerpt WDH'!N49*'Excerpt WDH'!$O49/100,IF('Excerpt WDH'!$L$10=4,'Excerpt WDH'!N49*'Excerpt WDH'!N$51/100," "))))),0),"")</f>
      </c>
      <c r="O20" s="61">
        <f>IF(B20&gt;'Excerpt WDH'!$E$13,"",SUM(C20:N20))</f>
        <v>3</v>
      </c>
      <c r="P20" s="29"/>
    </row>
    <row r="21" spans="1:16" ht="13.5" thickBot="1">
      <c r="A21" s="112" t="s">
        <v>65</v>
      </c>
      <c r="B21" s="265">
        <f>'Excerpt WDH'!B50</f>
        <v>0</v>
      </c>
      <c r="C21" s="270">
        <f>IF(AND(C$9&lt;'Excerpt WDH'!$E$18+0.5,$B21&lt;'Excerpt WDH'!$E$11+0.5),ROUND((IF('Excerpt WDH'!$L$10=1,'Excerpt WDH'!C50,IF('Excerpt WDH'!$L$10=2,'Excerpt WDH'!C50*$E$3/100,IF('Excerpt WDH'!$L$10=3,'Excerpt WDH'!C50*'Excerpt WDH'!$O50/100,IF('Excerpt WDH'!$L$10=4,'Excerpt WDH'!C50*'Excerpt WDH'!C$51/100," "))))),0),"")</f>
        <v>6</v>
      </c>
      <c r="D21" s="271">
        <f>IF(AND(D$9&lt;'Excerpt WDH'!$E$18+0.5,$B21&lt;'Excerpt WDH'!$E$11+0.5),ROUND((IF('Excerpt WDH'!$L$10=1,'Excerpt WDH'!D50,IF('Excerpt WDH'!$L$10=2,'Excerpt WDH'!D50*$E$3/100,IF('Excerpt WDH'!$L$10=3,'Excerpt WDH'!D50*'Excerpt WDH'!$O50/100,IF('Excerpt WDH'!$L$10=4,'Excerpt WDH'!D50*'Excerpt WDH'!D$51/100," "))))),0),"")</f>
        <v>2</v>
      </c>
      <c r="E21" s="271">
        <f>IF(AND(E$9&lt;'Excerpt WDH'!$E$18+0.5,$B21&lt;'Excerpt WDH'!$E$11+0.5),ROUND((IF('Excerpt WDH'!$L$10=1,'Excerpt WDH'!E50,IF('Excerpt WDH'!$L$10=2,'Excerpt WDH'!E50*$E$3/100,IF('Excerpt WDH'!$L$10=3,'Excerpt WDH'!E50*'Excerpt WDH'!$O50/100,IF('Excerpt WDH'!$L$10=4,'Excerpt WDH'!E50*'Excerpt WDH'!E$51/100," "))))),0),"")</f>
        <v>2</v>
      </c>
      <c r="F21" s="271">
        <f>IF(AND(F$9&lt;'Excerpt WDH'!$E$18+0.5,$B21&lt;'Excerpt WDH'!$E$11+0.5),ROUND((IF('Excerpt WDH'!$L$10=1,'Excerpt WDH'!F50,IF('Excerpt WDH'!$L$10=2,'Excerpt WDH'!F50*$E$3/100,IF('Excerpt WDH'!$L$10=3,'Excerpt WDH'!F50*'Excerpt WDH'!$O50/100,IF('Excerpt WDH'!$L$10=4,'Excerpt WDH'!F50*'Excerpt WDH'!F$51/100," "))))),0),"")</f>
      </c>
      <c r="G21" s="271">
        <f>IF(AND(G$9&lt;'Excerpt WDH'!$E$18+0.5,$B21&lt;'Excerpt WDH'!$E$11+0.5),ROUND((IF('Excerpt WDH'!$L$10=1,'Excerpt WDH'!G50,IF('Excerpt WDH'!$L$10=2,'Excerpt WDH'!G50*$E$3/100,IF('Excerpt WDH'!$L$10=3,'Excerpt WDH'!G50*'Excerpt WDH'!$O50/100,IF('Excerpt WDH'!$L$10=4,'Excerpt WDH'!G50*'Excerpt WDH'!G$51/100," "))))),0),"")</f>
      </c>
      <c r="H21" s="271">
        <f>IF(AND(H$9&lt;'Excerpt WDH'!$E$18+0.5,$B21&lt;'Excerpt WDH'!$E$11+0.5),ROUND((IF('Excerpt WDH'!$L$10=1,'Excerpt WDH'!H50,IF('Excerpt WDH'!$L$10=2,'Excerpt WDH'!H50*$E$3/100,IF('Excerpt WDH'!$L$10=3,'Excerpt WDH'!H50*'Excerpt WDH'!$O50/100,IF('Excerpt WDH'!$L$10=4,'Excerpt WDH'!H50*'Excerpt WDH'!H$51/100," "))))),0),"")</f>
      </c>
      <c r="I21" s="271">
        <f>IF(AND(I$9&lt;'Excerpt WDH'!$E$18+0.5,$B21&lt;'Excerpt WDH'!$E$11+0.5),ROUND((IF('Excerpt WDH'!$L$10=1,'Excerpt WDH'!I50,IF('Excerpt WDH'!$L$10=2,'Excerpt WDH'!I50*$E$3/100,IF('Excerpt WDH'!$L$10=3,'Excerpt WDH'!I50*'Excerpt WDH'!$O50/100,IF('Excerpt WDH'!$L$10=4,'Excerpt WDH'!I50*'Excerpt WDH'!I$51/100," "))))),0),"")</f>
      </c>
      <c r="J21" s="271">
        <f>IF(AND(J$9&lt;'Excerpt WDH'!$E$18+0.5,$B21&lt;'Excerpt WDH'!$E$11+0.5),ROUND((IF('Excerpt WDH'!$L$10=1,'Excerpt WDH'!J50,IF('Excerpt WDH'!$L$10=2,'Excerpt WDH'!J50*$E$3/100,IF('Excerpt WDH'!$L$10=3,'Excerpt WDH'!J50*'Excerpt WDH'!$O50/100,IF('Excerpt WDH'!$L$10=4,'Excerpt WDH'!J50*'Excerpt WDH'!J$51/100," "))))),0),"")</f>
      </c>
      <c r="K21" s="271">
        <f>IF(AND(K$9&lt;'Excerpt WDH'!$E$18+0.5,$B21&lt;'Excerpt WDH'!$E$11+0.5),ROUND((IF('Excerpt WDH'!$L$10=1,'Excerpt WDH'!K50,IF('Excerpt WDH'!$L$10=2,'Excerpt WDH'!K50*$E$3/100,IF('Excerpt WDH'!$L$10=3,'Excerpt WDH'!K50*'Excerpt WDH'!$O50/100,IF('Excerpt WDH'!$L$10=4,'Excerpt WDH'!K50*'Excerpt WDH'!K$51/100," "))))),0),"")</f>
      </c>
      <c r="L21" s="271">
        <f>IF(AND(L$9&lt;'Excerpt WDH'!$E$18+0.5,$B21&lt;'Excerpt WDH'!$E$11+0.5),ROUND((IF('Excerpt WDH'!$L$10=1,'Excerpt WDH'!L50,IF('Excerpt WDH'!$L$10=2,'Excerpt WDH'!L50*$E$3/100,IF('Excerpt WDH'!$L$10=3,'Excerpt WDH'!L50*'Excerpt WDH'!$O50/100,IF('Excerpt WDH'!$L$10=4,'Excerpt WDH'!L50*'Excerpt WDH'!L$51/100," "))))),0),"")</f>
      </c>
      <c r="M21" s="271">
        <f>IF(AND(M$9&lt;'Excerpt WDH'!$E$18+0.5,$B21&lt;'Excerpt WDH'!$E$11+0.5),ROUND((IF('Excerpt WDH'!$L$10=1,'Excerpt WDH'!M50,IF('Excerpt WDH'!$L$10=2,'Excerpt WDH'!M50*$E$3/100,IF('Excerpt WDH'!$L$10=3,'Excerpt WDH'!M50*'Excerpt WDH'!$O50/100,IF('Excerpt WDH'!$L$10=4,'Excerpt WDH'!M50*'Excerpt WDH'!M$51/100," "))))),0),"")</f>
      </c>
      <c r="N21" s="272">
        <f>IF(AND(N$9&lt;'Excerpt WDH'!$E$18+0.5,$B21&lt;'Excerpt WDH'!$E$11+0.5),ROUND((IF('Excerpt WDH'!$L$10=1,'Excerpt WDH'!N50,IF('Excerpt WDH'!$L$10=2,'Excerpt WDH'!N50*$E$3/100,IF('Excerpt WDH'!$L$10=3,'Excerpt WDH'!N50*'Excerpt WDH'!$O50/100,IF('Excerpt WDH'!$L$10=4,'Excerpt WDH'!N50*'Excerpt WDH'!N$51/100," "))))),0),"")</f>
      </c>
      <c r="O21" s="273">
        <f>IF(B21&gt;'Excerpt WDH'!$E$13,"",SUM(C21:N21))</f>
        <v>10</v>
      </c>
      <c r="P21" s="29"/>
    </row>
    <row r="22" spans="1:16" ht="13.5" thickBot="1">
      <c r="A22" s="112" t="s">
        <v>65</v>
      </c>
      <c r="B22" s="275" t="s">
        <v>0</v>
      </c>
      <c r="C22" s="62">
        <f>IF(C9&lt;'Excerpt WDH'!$E$18+0.5,SUM(C10:C21),"")</f>
        <v>1432</v>
      </c>
      <c r="D22" s="63">
        <f>IF(D9&lt;'Excerpt WDH'!$E$18+0.5,SUM(D10:D21),"")</f>
        <v>1701</v>
      </c>
      <c r="E22" s="63">
        <f>IF(E9&lt;'Excerpt WDH'!$E$18+0.5,SUM(E10:E21),"")</f>
        <v>1546</v>
      </c>
      <c r="F22" s="63">
        <f>IF(F9&lt;'Excerpt WDH'!$E$18+0.5,SUM(F10:F21),"")</f>
      </c>
      <c r="G22" s="63">
        <f>IF(G9&lt;'Excerpt WDH'!$E$18+0.5,SUM(G10:G21),"")</f>
      </c>
      <c r="H22" s="63">
        <f>IF(H9&lt;'Excerpt WDH'!$E$18+0.5,SUM(H10:H21),"")</f>
      </c>
      <c r="I22" s="63">
        <f>IF(I9&lt;'Excerpt WDH'!$E$18+0.5,SUM(I10:I21),"")</f>
      </c>
      <c r="J22" s="63">
        <f>IF(J9&lt;'Excerpt WDH'!$E$18+0.5,SUM(J10:J21),"")</f>
      </c>
      <c r="K22" s="63">
        <f>IF(K9&lt;'Excerpt WDH'!$E$18+0.5,SUM(K10:K21),"")</f>
      </c>
      <c r="L22" s="63">
        <f>IF(L9&lt;'Excerpt WDH'!$E$18+0.5,SUM(L10:L21),"")</f>
      </c>
      <c r="M22" s="63">
        <f>IF(M9&lt;'Excerpt WDH'!$E$18+0.5,SUM(M10:M21),"")</f>
      </c>
      <c r="N22" s="274">
        <f>IF(N9&lt;'Excerpt WDH'!$E$18+0.5,SUM(N10:N21),"")</f>
      </c>
      <c r="O22" s="47">
        <f>IF(SUM(C22:N22)=SUM(O10:O21),SUM(C22:N22),"")</f>
        <v>4679</v>
      </c>
      <c r="P22" s="29"/>
    </row>
    <row r="23" spans="1:16" ht="12.75">
      <c r="A23" s="59" t="s">
        <v>23</v>
      </c>
      <c r="B23" s="113" t="s">
        <v>67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</sheetData>
  <sheetProtection password="C550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R2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16" width="5.7109375" style="0" customWidth="1"/>
    <col min="17" max="17" width="12.7109375" style="0" customWidth="1"/>
    <col min="18" max="20" width="5.7109375" style="0" customWidth="1"/>
  </cols>
  <sheetData>
    <row r="1" ht="13.5" thickBot="1">
      <c r="A1" s="123" t="s">
        <v>99</v>
      </c>
    </row>
    <row r="2" spans="2:15" ht="13.5" thickBot="1">
      <c r="B2" t="s">
        <v>1</v>
      </c>
      <c r="F2" s="81">
        <f>'Excerpt WDH'!E13</f>
        <v>11</v>
      </c>
      <c r="I2" t="s">
        <v>5</v>
      </c>
      <c r="N2" s="47">
        <f>O21</f>
        <v>4679</v>
      </c>
      <c r="O2" s="24"/>
    </row>
    <row r="3" spans="2:17" ht="13.5" thickBot="1">
      <c r="B3" t="s">
        <v>2</v>
      </c>
      <c r="F3" s="82">
        <f>'Excerpt WDH'!E18</f>
        <v>3</v>
      </c>
      <c r="H3" s="126" t="s">
        <v>91</v>
      </c>
      <c r="I3" s="323">
        <f>MIN(F2,F3)</f>
        <v>3</v>
      </c>
      <c r="K3" t="s">
        <v>86</v>
      </c>
      <c r="N3" s="121">
        <f>(4*SQRT(I69*I69*Q150-2*I69*I84*E167+I84*I84*E134))/((N2*N2-E118)*(N2*N2-E118))</f>
        <v>0.005838767575031177</v>
      </c>
      <c r="Q3" s="121"/>
    </row>
    <row r="4" spans="6:13" ht="12.75">
      <c r="F4" s="41"/>
      <c r="M4" s="168" t="str">
        <f>IF(ABS(1-N3/I185)&gt;0.001,"WARNING !","")</f>
        <v>WARNING !</v>
      </c>
    </row>
    <row r="5" spans="1:6" ht="12.75">
      <c r="A5" s="58" t="s">
        <v>188</v>
      </c>
      <c r="F5" s="41"/>
    </row>
    <row r="6" ht="12.75">
      <c r="F6" s="41"/>
    </row>
    <row r="7" spans="1:18" ht="13.5" thickBot="1">
      <c r="A7" s="29"/>
      <c r="B7" s="74" t="s">
        <v>13</v>
      </c>
      <c r="C7" s="29"/>
      <c r="D7" s="29"/>
      <c r="E7" s="29"/>
      <c r="F7" s="29"/>
      <c r="G7" s="58" t="s">
        <v>196</v>
      </c>
      <c r="H7" s="29"/>
      <c r="I7" s="29"/>
      <c r="J7" s="29"/>
      <c r="K7" s="29"/>
      <c r="L7" s="29"/>
      <c r="M7" s="29"/>
      <c r="N7" s="29"/>
      <c r="O7" s="29"/>
      <c r="P7" s="29"/>
      <c r="R7" s="29"/>
    </row>
    <row r="8" spans="1:18" ht="13.5" thickBot="1">
      <c r="A8" s="29"/>
      <c r="B8" s="30"/>
      <c r="C8" s="31">
        <v>1</v>
      </c>
      <c r="D8" s="32">
        <f aca="true" t="shared" si="0" ref="D8:N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si="0"/>
        <v>10</v>
      </c>
      <c r="M8" s="32">
        <f t="shared" si="0"/>
        <v>11</v>
      </c>
      <c r="N8" s="33">
        <f t="shared" si="0"/>
        <v>12</v>
      </c>
      <c r="O8" s="34" t="s">
        <v>0</v>
      </c>
      <c r="P8" s="29"/>
      <c r="Q8" s="137" t="s">
        <v>92</v>
      </c>
      <c r="R8" s="29"/>
    </row>
    <row r="9" spans="1:18" ht="12.75">
      <c r="A9" s="304"/>
      <c r="B9" s="263">
        <f>'Excerpt WDH'!B39</f>
      </c>
      <c r="C9" s="210">
        <f>IF(OR($B9&gt;$F$2,C$8&gt;$F$3),0,Frequencies!C10)</f>
        <v>0</v>
      </c>
      <c r="D9" s="211">
        <f>IF(OR($B9&gt;$F$2,D$8&gt;$F$3),0,Frequencies!D10)</f>
        <v>0</v>
      </c>
      <c r="E9" s="211">
        <f>IF(OR($B9&gt;$F$2,E$8&gt;$F$3),0,Frequencies!E10)</f>
        <v>0</v>
      </c>
      <c r="F9" s="211">
        <f>IF(OR($B9&gt;$F$2,F$8&gt;$F$3),0,Frequencies!F10)</f>
        <v>0</v>
      </c>
      <c r="G9" s="211">
        <f>IF(OR($B9&gt;$F$2,G$8&gt;$F$3),0,Frequencies!G10)</f>
        <v>0</v>
      </c>
      <c r="H9" s="211">
        <f>IF(OR($B9&gt;$F$2,H$8&gt;$F$3),0,Frequencies!H10)</f>
        <v>0</v>
      </c>
      <c r="I9" s="211">
        <f>IF(OR($B9&gt;$F$2,I$8&gt;$F$3),0,Frequencies!I10)</f>
        <v>0</v>
      </c>
      <c r="J9" s="211">
        <f>IF(OR($B9&gt;$F$2,J$8&gt;$F$3),0,Frequencies!J10)</f>
        <v>0</v>
      </c>
      <c r="K9" s="211">
        <f>IF(OR($B9&gt;$F$2,K$8&gt;$F$3),0,Frequencies!K10)</f>
        <v>0</v>
      </c>
      <c r="L9" s="211">
        <f>IF(OR($B9&gt;$F$2,L$8&gt;$F$3),0,Frequencies!L10)</f>
        <v>0</v>
      </c>
      <c r="M9" s="211">
        <f>IF(OR($B9&gt;$F$2,M$8&gt;$F$3),0,Frequencies!M10)</f>
        <v>0</v>
      </c>
      <c r="N9" s="212">
        <f>IF(OR($B9&gt;$F$2,N$8&gt;$F$3),0,Frequencies!N10)</f>
        <v>0</v>
      </c>
      <c r="O9" s="213">
        <f aca="true" t="shared" si="1" ref="O9:O20">SUM(C9:N9)</f>
        <v>0</v>
      </c>
      <c r="P9" s="29"/>
      <c r="Q9" s="129">
        <f aca="true" t="shared" si="2" ref="Q9:Q20">O9*O9</f>
        <v>0</v>
      </c>
      <c r="R9" s="29"/>
    </row>
    <row r="10" spans="1:18" ht="12.75">
      <c r="A10" s="29"/>
      <c r="B10" s="264">
        <f>'Excerpt WDH'!B40</f>
        <v>10</v>
      </c>
      <c r="C10" s="214">
        <f>IF(OR($B10&gt;$F$2,C$8&gt;$F$3),0,Frequencies!C11)</f>
        <v>263</v>
      </c>
      <c r="D10" s="215">
        <f>IF(OR($B10&gt;$F$2,D$8&gt;$F$3),0,Frequencies!D11)</f>
        <v>211</v>
      </c>
      <c r="E10" s="215">
        <f>IF(OR($B10&gt;$F$2,E$8&gt;$F$3),0,Frequencies!E11)</f>
        <v>159</v>
      </c>
      <c r="F10" s="215">
        <f>IF(OR($B10&gt;$F$2,F$8&gt;$F$3),0,Frequencies!F11)</f>
        <v>0</v>
      </c>
      <c r="G10" s="215">
        <f>IF(OR($B10&gt;$F$2,G$8&gt;$F$3),0,Frequencies!G11)</f>
        <v>0</v>
      </c>
      <c r="H10" s="215">
        <f>IF(OR($B10&gt;$F$2,H$8&gt;$F$3),0,Frequencies!H11)</f>
        <v>0</v>
      </c>
      <c r="I10" s="215">
        <f>IF(OR($B10&gt;$F$2,I$8&gt;$F$3),0,Frequencies!I11)</f>
        <v>0</v>
      </c>
      <c r="J10" s="215">
        <f>IF(OR($B10&gt;$F$2,J$8&gt;$F$3),0,Frequencies!J11)</f>
        <v>0</v>
      </c>
      <c r="K10" s="215">
        <f>IF(OR($B10&gt;$F$2,K$8&gt;$F$3),0,Frequencies!K11)</f>
        <v>0</v>
      </c>
      <c r="L10" s="215">
        <f>IF(OR($B10&gt;$F$2,L$8&gt;$F$3),0,Frequencies!L11)</f>
        <v>0</v>
      </c>
      <c r="M10" s="215">
        <f>IF(OR($B10&gt;$F$2,M$8&gt;$F$3),0,Frequencies!M11)</f>
        <v>0</v>
      </c>
      <c r="N10" s="216">
        <f>IF(OR($B10&gt;$F$2,N$8&gt;$F$3),0,Frequencies!N11)</f>
        <v>0</v>
      </c>
      <c r="O10" s="217">
        <f t="shared" si="1"/>
        <v>633</v>
      </c>
      <c r="P10" s="29"/>
      <c r="Q10" s="130">
        <f t="shared" si="2"/>
        <v>400689</v>
      </c>
      <c r="R10" s="29"/>
    </row>
    <row r="11" spans="1:18" ht="12.75">
      <c r="A11" s="29"/>
      <c r="B11" s="264">
        <f>'Excerpt WDH'!B41</f>
        <v>9</v>
      </c>
      <c r="C11" s="214">
        <f>IF(OR($B11&gt;$F$2,C$8&gt;$F$3),0,Frequencies!C12)</f>
        <v>356</v>
      </c>
      <c r="D11" s="215">
        <f>IF(OR($B11&gt;$F$2,D$8&gt;$F$3),0,Frequencies!D12)</f>
        <v>455</v>
      </c>
      <c r="E11" s="215">
        <f>IF(OR($B11&gt;$F$2,E$8&gt;$F$3),0,Frequencies!E12)</f>
        <v>355</v>
      </c>
      <c r="F11" s="215">
        <f>IF(OR($B11&gt;$F$2,F$8&gt;$F$3),0,Frequencies!F12)</f>
        <v>0</v>
      </c>
      <c r="G11" s="215">
        <f>IF(OR($B11&gt;$F$2,G$8&gt;$F$3),0,Frequencies!G12)</f>
        <v>0</v>
      </c>
      <c r="H11" s="215">
        <f>IF(OR($B11&gt;$F$2,H$8&gt;$F$3),0,Frequencies!H12)</f>
        <v>0</v>
      </c>
      <c r="I11" s="215">
        <f>IF(OR($B11&gt;$F$2,I$8&gt;$F$3),0,Frequencies!I12)</f>
        <v>0</v>
      </c>
      <c r="J11" s="215">
        <f>IF(OR($B11&gt;$F$2,J$8&gt;$F$3),0,Frequencies!J12)</f>
        <v>0</v>
      </c>
      <c r="K11" s="215">
        <f>IF(OR($B11&gt;$F$2,K$8&gt;$F$3),0,Frequencies!K12)</f>
        <v>0</v>
      </c>
      <c r="L11" s="215">
        <f>IF(OR($B11&gt;$F$2,L$8&gt;$F$3),0,Frequencies!L12)</f>
        <v>0</v>
      </c>
      <c r="M11" s="215">
        <f>IF(OR($B11&gt;$F$2,M$8&gt;$F$3),0,Frequencies!M12)</f>
        <v>0</v>
      </c>
      <c r="N11" s="216">
        <f>IF(OR($B11&gt;$F$2,N$8&gt;$F$3),0,Frequencies!N12)</f>
        <v>0</v>
      </c>
      <c r="O11" s="217">
        <f t="shared" si="1"/>
        <v>1166</v>
      </c>
      <c r="P11" s="29"/>
      <c r="Q11" s="130">
        <f t="shared" si="2"/>
        <v>1359556</v>
      </c>
      <c r="R11" s="29"/>
    </row>
    <row r="12" spans="1:18" ht="12.75">
      <c r="A12" s="29"/>
      <c r="B12" s="264">
        <f>'Excerpt WDH'!B42</f>
        <v>8</v>
      </c>
      <c r="C12" s="214">
        <f>IF(OR($B12&gt;$F$2,C$8&gt;$F$3),0,Frequencies!C13)</f>
        <v>409</v>
      </c>
      <c r="D12" s="215">
        <f>IF(OR($B12&gt;$F$2,D$8&gt;$F$3),0,Frequencies!D13)</f>
        <v>588</v>
      </c>
      <c r="E12" s="215">
        <f>IF(OR($B12&gt;$F$2,E$8&gt;$F$3),0,Frequencies!E13)</f>
        <v>535</v>
      </c>
      <c r="F12" s="215">
        <f>IF(OR($B12&gt;$F$2,F$8&gt;$F$3),0,Frequencies!F13)</f>
        <v>0</v>
      </c>
      <c r="G12" s="215">
        <f>IF(OR($B12&gt;$F$2,G$8&gt;$F$3),0,Frequencies!G13)</f>
        <v>0</v>
      </c>
      <c r="H12" s="215">
        <f>IF(OR($B12&gt;$F$2,H$8&gt;$F$3),0,Frequencies!H13)</f>
        <v>0</v>
      </c>
      <c r="I12" s="215">
        <f>IF(OR($B12&gt;$F$2,I$8&gt;$F$3),0,Frequencies!I13)</f>
        <v>0</v>
      </c>
      <c r="J12" s="215">
        <f>IF(OR($B12&gt;$F$2,J$8&gt;$F$3),0,Frequencies!J13)</f>
        <v>0</v>
      </c>
      <c r="K12" s="215">
        <f>IF(OR($B12&gt;$F$2,K$8&gt;$F$3),0,Frequencies!K13)</f>
        <v>0</v>
      </c>
      <c r="L12" s="215">
        <f>IF(OR($B12&gt;$F$2,L$8&gt;$F$3),0,Frequencies!L13)</f>
        <v>0</v>
      </c>
      <c r="M12" s="215">
        <f>IF(OR($B12&gt;$F$2,M$8&gt;$F$3),0,Frequencies!M13)</f>
        <v>0</v>
      </c>
      <c r="N12" s="216">
        <f>IF(OR($B12&gt;$F$2,N$8&gt;$F$3),0,Frequencies!N13)</f>
        <v>0</v>
      </c>
      <c r="O12" s="217">
        <f t="shared" si="1"/>
        <v>1532</v>
      </c>
      <c r="P12" s="29"/>
      <c r="Q12" s="130">
        <f t="shared" si="2"/>
        <v>2347024</v>
      </c>
      <c r="R12" s="29"/>
    </row>
    <row r="13" spans="1:18" ht="12.75">
      <c r="A13" s="29"/>
      <c r="B13" s="264">
        <f>'Excerpt WDH'!B43</f>
        <v>7</v>
      </c>
      <c r="C13" s="214">
        <f>IF(OR($B13&gt;$F$2,C$8&gt;$F$3),0,Frequencies!C14)</f>
        <v>220</v>
      </c>
      <c r="D13" s="215">
        <f>IF(OR($B13&gt;$F$2,D$8&gt;$F$3),0,Frequencies!D14)</f>
        <v>309</v>
      </c>
      <c r="E13" s="215">
        <f>IF(OR($B13&gt;$F$2,E$8&gt;$F$3),0,Frequencies!E14)</f>
        <v>318</v>
      </c>
      <c r="F13" s="215">
        <f>IF(OR($B13&gt;$F$2,F$8&gt;$F$3),0,Frequencies!F14)</f>
        <v>0</v>
      </c>
      <c r="G13" s="215">
        <f>IF(OR($B13&gt;$F$2,G$8&gt;$F$3),0,Frequencies!G14)</f>
        <v>0</v>
      </c>
      <c r="H13" s="215">
        <f>IF(OR($B13&gt;$F$2,H$8&gt;$F$3),0,Frequencies!H14)</f>
        <v>0</v>
      </c>
      <c r="I13" s="215">
        <f>IF(OR($B13&gt;$F$2,I$8&gt;$F$3),0,Frequencies!I14)</f>
        <v>0</v>
      </c>
      <c r="J13" s="215">
        <f>IF(OR($B13&gt;$F$2,J$8&gt;$F$3),0,Frequencies!J14)</f>
        <v>0</v>
      </c>
      <c r="K13" s="215">
        <f>IF(OR($B13&gt;$F$2,K$8&gt;$F$3),0,Frequencies!K14)</f>
        <v>0</v>
      </c>
      <c r="L13" s="215">
        <f>IF(OR($B13&gt;$F$2,L$8&gt;$F$3),0,Frequencies!L14)</f>
        <v>0</v>
      </c>
      <c r="M13" s="215">
        <f>IF(OR($B13&gt;$F$2,M$8&gt;$F$3),0,Frequencies!M14)</f>
        <v>0</v>
      </c>
      <c r="N13" s="216">
        <f>IF(OR($B13&gt;$F$2,N$8&gt;$F$3),0,Frequencies!N14)</f>
        <v>0</v>
      </c>
      <c r="O13" s="217">
        <f t="shared" si="1"/>
        <v>847</v>
      </c>
      <c r="P13" s="29"/>
      <c r="Q13" s="130">
        <f t="shared" si="2"/>
        <v>717409</v>
      </c>
      <c r="R13" s="29"/>
    </row>
    <row r="14" spans="1:18" ht="12.75">
      <c r="A14" s="29"/>
      <c r="B14" s="264">
        <f>'Excerpt WDH'!B44</f>
        <v>6</v>
      </c>
      <c r="C14" s="214">
        <f>IF(OR($B14&gt;$F$2,C$8&gt;$F$3),0,Frequencies!C15)</f>
        <v>73</v>
      </c>
      <c r="D14" s="215">
        <f>IF(OR($B14&gt;$F$2,D$8&gt;$F$3),0,Frequencies!D15)</f>
        <v>65</v>
      </c>
      <c r="E14" s="215">
        <f>IF(OR($B14&gt;$F$2,E$8&gt;$F$3),0,Frequencies!E15)</f>
        <v>105</v>
      </c>
      <c r="F14" s="215">
        <f>IF(OR($B14&gt;$F$2,F$8&gt;$F$3),0,Frequencies!F15)</f>
        <v>0</v>
      </c>
      <c r="G14" s="215">
        <f>IF(OR($B14&gt;$F$2,G$8&gt;$F$3),0,Frequencies!G15)</f>
        <v>0</v>
      </c>
      <c r="H14" s="215">
        <f>IF(OR($B14&gt;$F$2,H$8&gt;$F$3),0,Frequencies!H15)</f>
        <v>0</v>
      </c>
      <c r="I14" s="215">
        <f>IF(OR($B14&gt;$F$2,I$8&gt;$F$3),0,Frequencies!I15)</f>
        <v>0</v>
      </c>
      <c r="J14" s="215">
        <f>IF(OR($B14&gt;$F$2,J$8&gt;$F$3),0,Frequencies!J15)</f>
        <v>0</v>
      </c>
      <c r="K14" s="215">
        <f>IF(OR($B14&gt;$F$2,K$8&gt;$F$3),0,Frequencies!K15)</f>
        <v>0</v>
      </c>
      <c r="L14" s="215">
        <f>IF(OR($B14&gt;$F$2,L$8&gt;$F$3),0,Frequencies!L15)</f>
        <v>0</v>
      </c>
      <c r="M14" s="215">
        <f>IF(OR($B14&gt;$F$2,M$8&gt;$F$3),0,Frequencies!M15)</f>
        <v>0</v>
      </c>
      <c r="N14" s="216">
        <f>IF(OR($B14&gt;$F$2,N$8&gt;$F$3),0,Frequencies!N15)</f>
        <v>0</v>
      </c>
      <c r="O14" s="217">
        <f t="shared" si="1"/>
        <v>243</v>
      </c>
      <c r="P14" s="29"/>
      <c r="Q14" s="130">
        <f t="shared" si="2"/>
        <v>59049</v>
      </c>
      <c r="R14" s="29"/>
    </row>
    <row r="15" spans="1:18" ht="12.75">
      <c r="A15" s="29"/>
      <c r="B15" s="264">
        <f>'Excerpt WDH'!B45</f>
        <v>5</v>
      </c>
      <c r="C15" s="214">
        <f>IF(OR($B15&gt;$F$2,C$8&gt;$F$3),0,Frequencies!C16)</f>
        <v>72</v>
      </c>
      <c r="D15" s="215">
        <f>IF(OR($B15&gt;$F$2,D$8&gt;$F$3),0,Frequencies!D16)</f>
        <v>54</v>
      </c>
      <c r="E15" s="215">
        <f>IF(OR($B15&gt;$F$2,E$8&gt;$F$3),0,Frequencies!E16)</f>
        <v>53</v>
      </c>
      <c r="F15" s="215">
        <f>IF(OR($B15&gt;$F$2,F$8&gt;$F$3),0,Frequencies!F16)</f>
        <v>0</v>
      </c>
      <c r="G15" s="215">
        <f>IF(OR($B15&gt;$F$2,G$8&gt;$F$3),0,Frequencies!G16)</f>
        <v>0</v>
      </c>
      <c r="H15" s="215">
        <f>IF(OR($B15&gt;$F$2,H$8&gt;$F$3),0,Frequencies!H16)</f>
        <v>0</v>
      </c>
      <c r="I15" s="215">
        <f>IF(OR($B15&gt;$F$2,I$8&gt;$F$3),0,Frequencies!I16)</f>
        <v>0</v>
      </c>
      <c r="J15" s="215">
        <f>IF(OR($B15&gt;$F$2,J$8&gt;$F$3),0,Frequencies!J16)</f>
        <v>0</v>
      </c>
      <c r="K15" s="215">
        <f>IF(OR($B15&gt;$F$2,K$8&gt;$F$3),0,Frequencies!K16)</f>
        <v>0</v>
      </c>
      <c r="L15" s="215">
        <f>IF(OR($B15&gt;$F$2,L$8&gt;$F$3),0,Frequencies!L16)</f>
        <v>0</v>
      </c>
      <c r="M15" s="215">
        <f>IF(OR($B15&gt;$F$2,M$8&gt;$F$3),0,Frequencies!M16)</f>
        <v>0</v>
      </c>
      <c r="N15" s="216">
        <f>IF(OR($B15&gt;$F$2,N$8&gt;$F$3),0,Frequencies!N16)</f>
        <v>0</v>
      </c>
      <c r="O15" s="217">
        <f t="shared" si="1"/>
        <v>179</v>
      </c>
      <c r="P15" s="29"/>
      <c r="Q15" s="130">
        <f t="shared" si="2"/>
        <v>32041</v>
      </c>
      <c r="R15" s="29"/>
    </row>
    <row r="16" spans="1:18" ht="12.75">
      <c r="A16" s="29"/>
      <c r="B16" s="264">
        <f>'Excerpt WDH'!B46</f>
        <v>4</v>
      </c>
      <c r="C16" s="214">
        <f>IF(OR($B16&gt;$F$2,C$8&gt;$F$3),0,Frequencies!C17)</f>
        <v>16</v>
      </c>
      <c r="D16" s="215">
        <f>IF(OR($B16&gt;$F$2,D$8&gt;$F$3),0,Frequencies!D17)</f>
        <v>10</v>
      </c>
      <c r="E16" s="215">
        <f>IF(OR($B16&gt;$F$2,E$8&gt;$F$3),0,Frequencies!E17)</f>
        <v>11</v>
      </c>
      <c r="F16" s="215">
        <f>IF(OR($B16&gt;$F$2,F$8&gt;$F$3),0,Frequencies!F17)</f>
        <v>0</v>
      </c>
      <c r="G16" s="215">
        <f>IF(OR($B16&gt;$F$2,G$8&gt;$F$3),0,Frequencies!G17)</f>
        <v>0</v>
      </c>
      <c r="H16" s="215">
        <f>IF(OR($B16&gt;$F$2,H$8&gt;$F$3),0,Frequencies!H17)</f>
        <v>0</v>
      </c>
      <c r="I16" s="215">
        <f>IF(OR($B16&gt;$F$2,I$8&gt;$F$3),0,Frequencies!I17)</f>
        <v>0</v>
      </c>
      <c r="J16" s="215">
        <f>IF(OR($B16&gt;$F$2,J$8&gt;$F$3),0,Frequencies!J17)</f>
        <v>0</v>
      </c>
      <c r="K16" s="215">
        <f>IF(OR($B16&gt;$F$2,K$8&gt;$F$3),0,Frequencies!K17)</f>
        <v>0</v>
      </c>
      <c r="L16" s="215">
        <f>IF(OR($B16&gt;$F$2,L$8&gt;$F$3),0,Frequencies!L17)</f>
        <v>0</v>
      </c>
      <c r="M16" s="215">
        <f>IF(OR($B16&gt;$F$2,M$8&gt;$F$3),0,Frequencies!M17)</f>
        <v>0</v>
      </c>
      <c r="N16" s="216">
        <f>IF(OR($B16&gt;$F$2,N$8&gt;$F$3),0,Frequencies!N17)</f>
        <v>0</v>
      </c>
      <c r="O16" s="217">
        <f t="shared" si="1"/>
        <v>37</v>
      </c>
      <c r="P16" s="29"/>
      <c r="Q16" s="130">
        <f t="shared" si="2"/>
        <v>1369</v>
      </c>
      <c r="R16" s="29"/>
    </row>
    <row r="17" spans="1:18" ht="12.75">
      <c r="A17" s="29"/>
      <c r="B17" s="264">
        <f>'Excerpt WDH'!B47</f>
        <v>3</v>
      </c>
      <c r="C17" s="214">
        <f>IF(OR($B17&gt;$F$2,C$8&gt;$F$3),0,Frequencies!C18)</f>
        <v>10</v>
      </c>
      <c r="D17" s="215">
        <f>IF(OR($B17&gt;$F$2,D$8&gt;$F$3),0,Frequencies!D18)</f>
        <v>3</v>
      </c>
      <c r="E17" s="215">
        <f>IF(OR($B17&gt;$F$2,E$8&gt;$F$3),0,Frequencies!E18)</f>
        <v>3</v>
      </c>
      <c r="F17" s="215">
        <f>IF(OR($B17&gt;$F$2,F$8&gt;$F$3),0,Frequencies!F18)</f>
        <v>0</v>
      </c>
      <c r="G17" s="215">
        <f>IF(OR($B17&gt;$F$2,G$8&gt;$F$3),0,Frequencies!G18)</f>
        <v>0</v>
      </c>
      <c r="H17" s="215">
        <f>IF(OR($B17&gt;$F$2,H$8&gt;$F$3),0,Frequencies!H18)</f>
        <v>0</v>
      </c>
      <c r="I17" s="215">
        <f>IF(OR($B17&gt;$F$2,I$8&gt;$F$3),0,Frequencies!I18)</f>
        <v>0</v>
      </c>
      <c r="J17" s="215">
        <f>IF(OR($B17&gt;$F$2,J$8&gt;$F$3),0,Frequencies!J18)</f>
        <v>0</v>
      </c>
      <c r="K17" s="215">
        <f>IF(OR($B17&gt;$F$2,K$8&gt;$F$3),0,Frequencies!K18)</f>
        <v>0</v>
      </c>
      <c r="L17" s="215">
        <f>IF(OR($B17&gt;$F$2,L$8&gt;$F$3),0,Frequencies!L18)</f>
        <v>0</v>
      </c>
      <c r="M17" s="215">
        <f>IF(OR($B17&gt;$F$2,M$8&gt;$F$3),0,Frequencies!M18)</f>
        <v>0</v>
      </c>
      <c r="N17" s="216">
        <f>IF(OR($B17&gt;$F$2,N$8&gt;$F$3),0,Frequencies!N18)</f>
        <v>0</v>
      </c>
      <c r="O17" s="217">
        <f t="shared" si="1"/>
        <v>16</v>
      </c>
      <c r="P17" s="29"/>
      <c r="Q17" s="130">
        <f t="shared" si="2"/>
        <v>256</v>
      </c>
      <c r="R17" s="29"/>
    </row>
    <row r="18" spans="1:18" ht="12.75">
      <c r="A18" s="29"/>
      <c r="B18" s="264">
        <f>'Excerpt WDH'!B48</f>
        <v>2</v>
      </c>
      <c r="C18" s="214">
        <f>IF(OR($B18&gt;$F$2,C$8&gt;$F$3),0,Frequencies!C19)</f>
        <v>6</v>
      </c>
      <c r="D18" s="215">
        <f>IF(OR($B18&gt;$F$2,D$8&gt;$F$3),0,Frequencies!D19)</f>
        <v>2</v>
      </c>
      <c r="E18" s="215">
        <f>IF(OR($B18&gt;$F$2,E$8&gt;$F$3),0,Frequencies!E19)</f>
        <v>5</v>
      </c>
      <c r="F18" s="215">
        <f>IF(OR($B18&gt;$F$2,F$8&gt;$F$3),0,Frequencies!F19)</f>
        <v>0</v>
      </c>
      <c r="G18" s="215">
        <f>IF(OR($B18&gt;$F$2,G$8&gt;$F$3),0,Frequencies!G19)</f>
        <v>0</v>
      </c>
      <c r="H18" s="215">
        <f>IF(OR($B18&gt;$F$2,H$8&gt;$F$3),0,Frequencies!H19)</f>
        <v>0</v>
      </c>
      <c r="I18" s="215">
        <f>IF(OR($B18&gt;$F$2,I$8&gt;$F$3),0,Frequencies!I19)</f>
        <v>0</v>
      </c>
      <c r="J18" s="215">
        <f>IF(OR($B18&gt;$F$2,J$8&gt;$F$3),0,Frequencies!J19)</f>
        <v>0</v>
      </c>
      <c r="K18" s="215">
        <f>IF(OR($B18&gt;$F$2,K$8&gt;$F$3),0,Frequencies!K19)</f>
        <v>0</v>
      </c>
      <c r="L18" s="215">
        <f>IF(OR($B18&gt;$F$2,L$8&gt;$F$3),0,Frequencies!L19)</f>
        <v>0</v>
      </c>
      <c r="M18" s="215">
        <f>IF(OR($B18&gt;$F$2,M$8&gt;$F$3),0,Frequencies!M19)</f>
        <v>0</v>
      </c>
      <c r="N18" s="216">
        <f>IF(OR($B18&gt;$F$2,N$8&gt;$F$3),0,Frequencies!N19)</f>
        <v>0</v>
      </c>
      <c r="O18" s="217">
        <f t="shared" si="1"/>
        <v>13</v>
      </c>
      <c r="P18" s="29"/>
      <c r="Q18" s="130">
        <f t="shared" si="2"/>
        <v>169</v>
      </c>
      <c r="R18" s="29"/>
    </row>
    <row r="19" spans="1:18" ht="12.75">
      <c r="A19" s="29"/>
      <c r="B19" s="264">
        <f>'Excerpt WDH'!B49</f>
        <v>1</v>
      </c>
      <c r="C19" s="214">
        <f>IF(OR($B19&gt;$F$2,C$8&gt;$F$3),0,Frequencies!C20)</f>
        <v>1</v>
      </c>
      <c r="D19" s="215">
        <f>IF(OR($B19&gt;$F$2,D$8&gt;$F$3),0,Frequencies!D20)</f>
        <v>2</v>
      </c>
      <c r="E19" s="215">
        <f>IF(OR($B19&gt;$F$2,E$8&gt;$F$3),0,Frequencies!E20)</f>
        <v>0</v>
      </c>
      <c r="F19" s="215">
        <f>IF(OR($B19&gt;$F$2,F$8&gt;$F$3),0,Frequencies!F20)</f>
        <v>0</v>
      </c>
      <c r="G19" s="215">
        <f>IF(OR($B19&gt;$F$2,G$8&gt;$F$3),0,Frequencies!G20)</f>
        <v>0</v>
      </c>
      <c r="H19" s="215">
        <f>IF(OR($B19&gt;$F$2,H$8&gt;$F$3),0,Frequencies!H20)</f>
        <v>0</v>
      </c>
      <c r="I19" s="215">
        <f>IF(OR($B19&gt;$F$2,I$8&gt;$F$3),0,Frequencies!I20)</f>
        <v>0</v>
      </c>
      <c r="J19" s="215">
        <f>IF(OR($B19&gt;$F$2,J$8&gt;$F$3),0,Frequencies!J20)</f>
        <v>0</v>
      </c>
      <c r="K19" s="215">
        <f>IF(OR($B19&gt;$F$2,K$8&gt;$F$3),0,Frequencies!K20)</f>
        <v>0</v>
      </c>
      <c r="L19" s="215">
        <f>IF(OR($B19&gt;$F$2,L$8&gt;$F$3),0,Frequencies!L20)</f>
        <v>0</v>
      </c>
      <c r="M19" s="215">
        <f>IF(OR($B19&gt;$F$2,M$8&gt;$F$3),0,Frequencies!M20)</f>
        <v>0</v>
      </c>
      <c r="N19" s="216">
        <f>IF(OR($B19&gt;$F$2,N$8&gt;$F$3),0,Frequencies!N20)</f>
        <v>0</v>
      </c>
      <c r="O19" s="217">
        <f t="shared" si="1"/>
        <v>3</v>
      </c>
      <c r="P19" s="29"/>
      <c r="Q19" s="130">
        <f t="shared" si="2"/>
        <v>9</v>
      </c>
      <c r="R19" s="29"/>
    </row>
    <row r="20" spans="1:18" ht="13.5" thickBot="1">
      <c r="A20" s="29"/>
      <c r="B20" s="264">
        <f>'Excerpt WDH'!B50</f>
        <v>0</v>
      </c>
      <c r="C20" s="218">
        <f>IF(OR($B20&gt;$F$2,C$8&gt;$F$3),0,Frequencies!C21)</f>
        <v>6</v>
      </c>
      <c r="D20" s="219">
        <f>IF(OR($B20&gt;$F$2,D$8&gt;$F$3),0,Frequencies!D21)</f>
        <v>2</v>
      </c>
      <c r="E20" s="219">
        <f>IF(OR($B20&gt;$F$2,E$8&gt;$F$3),0,Frequencies!E21)</f>
        <v>2</v>
      </c>
      <c r="F20" s="219">
        <f>IF(OR($B20&gt;$F$2,F$8&gt;$F$3),0,Frequencies!F21)</f>
        <v>0</v>
      </c>
      <c r="G20" s="219">
        <f>IF(OR($B20&gt;$F$2,G$8&gt;$F$3),0,Frequencies!G21)</f>
        <v>0</v>
      </c>
      <c r="H20" s="219">
        <f>IF(OR($B20&gt;$F$2,H$8&gt;$F$3),0,Frequencies!H21)</f>
        <v>0</v>
      </c>
      <c r="I20" s="219">
        <f>IF(OR($B20&gt;$F$2,I$8&gt;$F$3),0,Frequencies!I21)</f>
        <v>0</v>
      </c>
      <c r="J20" s="219">
        <f>IF(OR($B20&gt;$F$2,J$8&gt;$F$3),0,Frequencies!J21)</f>
        <v>0</v>
      </c>
      <c r="K20" s="219">
        <f>IF(OR($B20&gt;$F$2,K$8&gt;$F$3),0,Frequencies!K21)</f>
        <v>0</v>
      </c>
      <c r="L20" s="219">
        <f>IF(OR($B20&gt;$F$2,L$8&gt;$F$3),0,Frequencies!L21)</f>
        <v>0</v>
      </c>
      <c r="M20" s="219">
        <f>IF(OR($B20&gt;$F$2,M$8&gt;$F$3),0,Frequencies!M21)</f>
        <v>0</v>
      </c>
      <c r="N20" s="220">
        <f>IF(OR($B20&gt;$F$2,N$8&gt;$F$3),0,Frequencies!N21)</f>
        <v>0</v>
      </c>
      <c r="O20" s="221">
        <f t="shared" si="1"/>
        <v>10</v>
      </c>
      <c r="P20" s="29"/>
      <c r="Q20" s="131">
        <f t="shared" si="2"/>
        <v>100</v>
      </c>
      <c r="R20" s="29"/>
    </row>
    <row r="21" spans="1:18" ht="13.5" thickBot="1">
      <c r="A21" s="29"/>
      <c r="B21" s="37" t="s">
        <v>0</v>
      </c>
      <c r="C21" s="222">
        <f aca="true" t="shared" si="3" ref="C21:N21">SUM(C9:C20)</f>
        <v>1432</v>
      </c>
      <c r="D21" s="223">
        <f t="shared" si="3"/>
        <v>1701</v>
      </c>
      <c r="E21" s="223">
        <f t="shared" si="3"/>
        <v>1546</v>
      </c>
      <c r="F21" s="223">
        <f t="shared" si="3"/>
        <v>0</v>
      </c>
      <c r="G21" s="223">
        <f t="shared" si="3"/>
        <v>0</v>
      </c>
      <c r="H21" s="223">
        <f t="shared" si="3"/>
        <v>0</v>
      </c>
      <c r="I21" s="223">
        <f t="shared" si="3"/>
        <v>0</v>
      </c>
      <c r="J21" s="223">
        <f t="shared" si="3"/>
        <v>0</v>
      </c>
      <c r="K21" s="223">
        <f t="shared" si="3"/>
        <v>0</v>
      </c>
      <c r="L21" s="223">
        <f t="shared" si="3"/>
        <v>0</v>
      </c>
      <c r="M21" s="223">
        <f t="shared" si="3"/>
        <v>0</v>
      </c>
      <c r="N21" s="224">
        <f t="shared" si="3"/>
        <v>0</v>
      </c>
      <c r="O21" s="225">
        <f>IF(SUM(C21:N21)=SUM(O9:O20),SUM(C21:N21),"")</f>
        <v>4679</v>
      </c>
      <c r="P21" s="29"/>
      <c r="Q21" s="29"/>
      <c r="R21" s="29"/>
    </row>
    <row r="22" spans="1:18" ht="13.5" thickBot="1">
      <c r="A22" s="29"/>
      <c r="B22" s="78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79" t="s">
        <v>94</v>
      </c>
      <c r="Q22" s="132">
        <f>O21*O21-SUM(Q9:Q20)</f>
        <v>16975370</v>
      </c>
      <c r="R22" s="29"/>
    </row>
    <row r="23" spans="1:18" ht="14.25" thickBot="1">
      <c r="A23" s="127"/>
      <c r="B23" s="128" t="s">
        <v>92</v>
      </c>
      <c r="C23" s="227">
        <f aca="true" t="shared" si="4" ref="C23:N23">C21*C21</f>
        <v>2050624</v>
      </c>
      <c r="D23" s="227">
        <f t="shared" si="4"/>
        <v>2893401</v>
      </c>
      <c r="E23" s="227">
        <f t="shared" si="4"/>
        <v>2390116</v>
      </c>
      <c r="F23" s="227">
        <f t="shared" si="4"/>
        <v>0</v>
      </c>
      <c r="G23" s="227">
        <f t="shared" si="4"/>
        <v>0</v>
      </c>
      <c r="H23" s="227">
        <f t="shared" si="4"/>
        <v>0</v>
      </c>
      <c r="I23" s="227">
        <f t="shared" si="4"/>
        <v>0</v>
      </c>
      <c r="J23" s="227">
        <f t="shared" si="4"/>
        <v>0</v>
      </c>
      <c r="K23" s="227">
        <f t="shared" si="4"/>
        <v>0</v>
      </c>
      <c r="L23" s="227">
        <f t="shared" si="4"/>
        <v>0</v>
      </c>
      <c r="M23" s="227">
        <f t="shared" si="4"/>
        <v>0</v>
      </c>
      <c r="N23" s="227">
        <f t="shared" si="4"/>
        <v>0</v>
      </c>
      <c r="O23" s="228"/>
      <c r="P23" t="s">
        <v>93</v>
      </c>
      <c r="Q23" s="134">
        <f>O21*O21-SUM(C23:N23)</f>
        <v>14558900</v>
      </c>
      <c r="R23" s="29"/>
    </row>
    <row r="24" spans="1:18" ht="13.5" thickBot="1">
      <c r="A24" s="2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t="s">
        <v>102</v>
      </c>
      <c r="Q24" s="131">
        <f>SQRT(Q22*Q23)</f>
        <v>15720773.336353399</v>
      </c>
      <c r="R24" s="29"/>
    </row>
    <row r="25" spans="1:18" ht="13.5" thickBot="1">
      <c r="A25" s="74" t="s">
        <v>78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3.5" thickBot="1">
      <c r="A26" s="29"/>
      <c r="B26" s="30"/>
      <c r="C26" s="31">
        <v>1</v>
      </c>
      <c r="D26" s="32">
        <f aca="true" t="shared" si="5" ref="D26:N26">C26+1</f>
        <v>2</v>
      </c>
      <c r="E26" s="32">
        <f t="shared" si="5"/>
        <v>3</v>
      </c>
      <c r="F26" s="32">
        <f t="shared" si="5"/>
        <v>4</v>
      </c>
      <c r="G26" s="32">
        <f t="shared" si="5"/>
        <v>5</v>
      </c>
      <c r="H26" s="32">
        <f t="shared" si="5"/>
        <v>6</v>
      </c>
      <c r="I26" s="32">
        <f t="shared" si="5"/>
        <v>7</v>
      </c>
      <c r="J26" s="32">
        <f t="shared" si="5"/>
        <v>8</v>
      </c>
      <c r="K26" s="32">
        <f t="shared" si="5"/>
        <v>9</v>
      </c>
      <c r="L26" s="32">
        <f t="shared" si="5"/>
        <v>10</v>
      </c>
      <c r="M26" s="32">
        <f t="shared" si="5"/>
        <v>11</v>
      </c>
      <c r="N26" s="33">
        <f t="shared" si="5"/>
        <v>12</v>
      </c>
      <c r="P26" s="29" t="s">
        <v>127</v>
      </c>
      <c r="Q26" s="29"/>
      <c r="R26" s="29"/>
    </row>
    <row r="27" spans="1:18" ht="12.75">
      <c r="A27" s="29"/>
      <c r="B27" s="264">
        <f>'Excerpt WDH'!B39</f>
      </c>
      <c r="C27" s="305">
        <v>0</v>
      </c>
      <c r="D27" s="306">
        <f>IF(OR($B27&gt;$F$2,D$26&gt;$F$3),0,SUM($C10:C$20))</f>
        <v>0</v>
      </c>
      <c r="E27" s="306">
        <f>IF(OR($B27&gt;$F$2,E$26&gt;$F$3),0,SUM($C10:D$20))</f>
        <v>0</v>
      </c>
      <c r="F27" s="306">
        <f>IF(OR($B27&gt;$F$2,F$26&gt;$F$3),0,SUM($C10:E$20))</f>
        <v>0</v>
      </c>
      <c r="G27" s="306">
        <f>IF(OR($B27&gt;$F$2,G$26&gt;$F$3),0,SUM($C10:F$20))</f>
        <v>0</v>
      </c>
      <c r="H27" s="306">
        <f>IF(OR($B27&gt;$F$2,H$26&gt;$F$3),0,SUM($C10:G$20))</f>
        <v>0</v>
      </c>
      <c r="I27" s="306">
        <f>IF(OR($B27&gt;$F$2,I$26&gt;$F$3),0,SUM($C10:H$20))</f>
        <v>0</v>
      </c>
      <c r="J27" s="306">
        <f>IF(OR($B27&gt;$F$2,J$26&gt;$F$3),0,SUM($C10:I$20))</f>
        <v>0</v>
      </c>
      <c r="K27" s="306">
        <f>IF(OR($B27&gt;$F$2,K$26&gt;$F$3),0,SUM($C10:J$20))</f>
        <v>0</v>
      </c>
      <c r="L27" s="306">
        <f>IF(OR($B27&gt;$F$2,L$26&gt;$F$3),0,SUM($C10:K$20))</f>
        <v>0</v>
      </c>
      <c r="M27" s="306">
        <f>IF(OR($B27&gt;$F$2,M$26&gt;$F$3),0,SUM($C10:L$20))</f>
        <v>0</v>
      </c>
      <c r="N27" s="306">
        <f>IF(OR($B27&gt;$F$2,N$26&gt;$F$3),0,SUM($C10:M$20))</f>
        <v>0</v>
      </c>
      <c r="P27" s="29"/>
      <c r="Q27" s="161">
        <f>2*(Statistics!E$10-Statistics!E$11)/Q$24</f>
        <v>-0.06339420960261573</v>
      </c>
      <c r="R27" s="29"/>
    </row>
    <row r="28" spans="1:17" ht="12.75">
      <c r="A28" s="29"/>
      <c r="B28" s="264">
        <f>'Excerpt WDH'!B40</f>
        <v>10</v>
      </c>
      <c r="C28" s="307">
        <f>SUM(D$9:$N9)</f>
        <v>0</v>
      </c>
      <c r="D28" s="308">
        <f>IF(OR($B28&gt;$F$2,D$26&gt;$F$3),0,SUM(E$9:$N9)+SUM($C11:C$20))</f>
        <v>1169</v>
      </c>
      <c r="E28" s="308">
        <f>IF(OR($B28&gt;$F$2,E$26&gt;$F$3),0,SUM(F$9:$N9)+SUM($C11:D$20))</f>
        <v>2659</v>
      </c>
      <c r="F28" s="308">
        <f>IF(OR($B28&gt;$F$2,F$26&gt;$F$3),0,SUM(G$9:$N9)+SUM($C11:E$20))</f>
        <v>0</v>
      </c>
      <c r="G28" s="308">
        <f>IF(OR($B28&gt;$F$2,G$26&gt;$F$3),0,SUM(H$9:$N9)+SUM($C11:F$20))</f>
        <v>0</v>
      </c>
      <c r="H28" s="308">
        <f>IF(OR($B28&gt;$F$2,H$26&gt;$F$3),0,SUM(I$9:$N9)+SUM($C11:G$20))</f>
        <v>0</v>
      </c>
      <c r="I28" s="308">
        <f>IF(OR($B28&gt;$F$2,I$26&gt;$F$3),0,SUM(J$9:$N9)+SUM($C11:H$20))</f>
        <v>0</v>
      </c>
      <c r="J28" s="308">
        <f>IF(OR($B28&gt;$F$2,J$26&gt;$F$3),0,SUM(K$9:$N9)+SUM($C11:I$20))</f>
        <v>0</v>
      </c>
      <c r="K28" s="308">
        <f>IF(OR($B28&gt;$F$2,K$26&gt;$F$3),0,SUM(L$9:$N9)+SUM($C11:J$20))</f>
        <v>0</v>
      </c>
      <c r="L28" s="308">
        <f>IF(OR($B28&gt;$F$2,L$26&gt;$F$3),0,SUM(M$9:$N9)+SUM($C11:K$20))</f>
        <v>0</v>
      </c>
      <c r="M28" s="308">
        <f>IF(OR($B28&gt;$F$2,M$26&gt;$F$3),0,SUM(N$9:$N9)+SUM($C11:L$20))</f>
        <v>0</v>
      </c>
      <c r="N28" s="308">
        <f>IF(OR($B28&gt;$F$2,N$26&gt;$F$3),0,SUM($N$9:O9)+SUM($C11:M$20))</f>
        <v>0</v>
      </c>
      <c r="Q28" s="161" t="str">
        <f>IF(F$2=F$3,2*(Statistics!E$10-Statistics!E$11)/Q$24,"  ")</f>
        <v>  </v>
      </c>
    </row>
    <row r="29" spans="1:17" ht="13.5" thickBot="1">
      <c r="A29" s="29"/>
      <c r="B29" s="264">
        <f>'Excerpt WDH'!B41</f>
        <v>9</v>
      </c>
      <c r="C29" s="307">
        <f>SUM(D$9:$N10)</f>
        <v>370</v>
      </c>
      <c r="D29" s="308">
        <f>IF(OR($B29&gt;$F$2,D$26&gt;$F$3),0,SUM(E$9:$N10)+SUM($C12:C$20))</f>
        <v>972</v>
      </c>
      <c r="E29" s="308">
        <f>IF(OR($B29&gt;$F$2,E$26&gt;$F$3),0,SUM(F$9:$N10)+SUM($C12:D$20))</f>
        <v>1848</v>
      </c>
      <c r="F29" s="308">
        <f>IF(OR($B29&gt;$F$2,F$26&gt;$F$3),0,SUM(G$9:$N10)+SUM($C12:E$20))</f>
        <v>0</v>
      </c>
      <c r="G29" s="308">
        <f>IF(OR($B29&gt;$F$2,G$26&gt;$F$3),0,SUM(H$9:$N10)+SUM($C12:F$20))</f>
        <v>0</v>
      </c>
      <c r="H29" s="308">
        <f>IF(OR($B29&gt;$F$2,H$26&gt;$F$3),0,SUM(I$9:$N10)+SUM($C12:G$20))</f>
        <v>0</v>
      </c>
      <c r="I29" s="308">
        <f>IF(OR($B29&gt;$F$2,I$26&gt;$F$3),0,SUM(J$9:$N10)+SUM($C12:H$20))</f>
        <v>0</v>
      </c>
      <c r="J29" s="308">
        <f>IF(OR($B29&gt;$F$2,J$26&gt;$F$3),0,SUM(K$9:$N10)+SUM($C12:I$20))</f>
        <v>0</v>
      </c>
      <c r="K29" s="308">
        <f>IF(OR($B29&gt;$F$2,K$26&gt;$F$3),0,SUM(L$9:$N10)+SUM($C12:J$20))</f>
        <v>0</v>
      </c>
      <c r="L29" s="308">
        <f>IF(OR($B29&gt;$F$2,L$26&gt;$F$3),0,SUM(M$9:$N10)+SUM($C12:K$20))</f>
        <v>0</v>
      </c>
      <c r="M29" s="308">
        <f>IF(OR($B29&gt;$F$2,M$26&gt;$F$3),0,SUM(N$9:$N10)+SUM($C12:L$20))</f>
        <v>0</v>
      </c>
      <c r="N29" s="308">
        <f>IF(OR($B29&gt;$F$2,N$26&gt;$F$3),0,SUM($N$9:O10)+SUM($C12:M$20))</f>
        <v>0</v>
      </c>
      <c r="Q29" s="161"/>
    </row>
    <row r="30" spans="1:17" ht="12.75">
      <c r="A30" s="29"/>
      <c r="B30" s="264">
        <f>'Excerpt WDH'!B42</f>
        <v>8</v>
      </c>
      <c r="C30" s="307">
        <f>SUM(D$9:$N11)</f>
        <v>1180</v>
      </c>
      <c r="D30" s="308">
        <f>IF(OR($B30&gt;$F$2,D$26&gt;$F$3),0,SUM(E$9:$N11)+SUM($C13:C$20))</f>
        <v>918</v>
      </c>
      <c r="E30" s="308">
        <f>IF(OR($B30&gt;$F$2,E$26&gt;$F$3),0,SUM(F$9:$N11)+SUM($C13:D$20))</f>
        <v>851</v>
      </c>
      <c r="F30" s="308">
        <f>IF(OR($B30&gt;$F$2,F$26&gt;$F$3),0,SUM(G$9:$N11)+SUM($C13:E$20))</f>
        <v>0</v>
      </c>
      <c r="G30" s="308">
        <f>IF(OR($B30&gt;$F$2,G$26&gt;$F$3),0,SUM(H$9:$N11)+SUM($C13:F$20))</f>
        <v>0</v>
      </c>
      <c r="H30" s="308">
        <f>IF(OR($B30&gt;$F$2,H$26&gt;$F$3),0,SUM(I$9:$N11)+SUM($C13:G$20))</f>
        <v>0</v>
      </c>
      <c r="I30" s="308">
        <f>IF(OR($B30&gt;$F$2,I$26&gt;$F$3),0,SUM(J$9:$N11)+SUM($C13:H$20))</f>
        <v>0</v>
      </c>
      <c r="J30" s="308">
        <f>IF(OR($B30&gt;$F$2,J$26&gt;$F$3),0,SUM(K$9:$N11)+SUM($C13:I$20))</f>
        <v>0</v>
      </c>
      <c r="K30" s="308">
        <f>IF(OR($B30&gt;$F$2,K$26&gt;$F$3),0,SUM(L$9:$N11)+SUM($C13:J$20))</f>
        <v>0</v>
      </c>
      <c r="L30" s="308">
        <f>IF(OR($B30&gt;$F$2,L$26&gt;$F$3),0,SUM(M$9:$N11)+SUM($C13:K$20))</f>
        <v>0</v>
      </c>
      <c r="M30" s="308">
        <f>IF(OR($B30&gt;$F$2,M$26&gt;$F$3),0,SUM(N$9:$N11)+SUM($C13:L$20))</f>
        <v>0</v>
      </c>
      <c r="N30" s="308">
        <f>IF(OR($B30&gt;$F$2,N$26&gt;$F$3),0,SUM($N$9:O11)+SUM($C13:M$20))</f>
        <v>0</v>
      </c>
      <c r="Q30" s="85" t="s">
        <v>87</v>
      </c>
    </row>
    <row r="31" spans="1:17" ht="12.75">
      <c r="A31" s="29"/>
      <c r="B31" s="264">
        <f>'Excerpt WDH'!B43</f>
        <v>7</v>
      </c>
      <c r="C31" s="307">
        <f>SUM(D$9:$N12)</f>
        <v>2303</v>
      </c>
      <c r="D31" s="308">
        <f>IF(OR($B31&gt;$F$2,D$26&gt;$F$3),0,SUM(E$9:$N12)+SUM($C14:C$20))</f>
        <v>1233</v>
      </c>
      <c r="E31" s="308">
        <f>IF(OR($B31&gt;$F$2,E$26&gt;$F$3),0,SUM(F$9:$N12)+SUM($C14:D$20))</f>
        <v>322</v>
      </c>
      <c r="F31" s="308">
        <f>IF(OR($B31&gt;$F$2,F$26&gt;$F$3),0,SUM(G$9:$N12)+SUM($C14:E$20))</f>
        <v>0</v>
      </c>
      <c r="G31" s="308">
        <f>IF(OR($B31&gt;$F$2,G$26&gt;$F$3),0,SUM(H$9:$N12)+SUM($C14:F$20))</f>
        <v>0</v>
      </c>
      <c r="H31" s="308">
        <f>IF(OR($B31&gt;$F$2,H$26&gt;$F$3),0,SUM(I$9:$N12)+SUM($C14:G$20))</f>
        <v>0</v>
      </c>
      <c r="I31" s="308">
        <f>IF(OR($B31&gt;$F$2,I$26&gt;$F$3),0,SUM(J$9:$N12)+SUM($C14:H$20))</f>
        <v>0</v>
      </c>
      <c r="J31" s="308">
        <f>IF(OR($B31&gt;$F$2,J$26&gt;$F$3),0,SUM(K$9:$N12)+SUM($C14:I$20))</f>
        <v>0</v>
      </c>
      <c r="K31" s="308">
        <f>IF(OR($B31&gt;$F$2,K$26&gt;$F$3),0,SUM(L$9:$N12)+SUM($C14:J$20))</f>
        <v>0</v>
      </c>
      <c r="L31" s="308">
        <f>IF(OR($B31&gt;$F$2,L$26&gt;$F$3),0,SUM(M$9:$N12)+SUM($C14:K$20))</f>
        <v>0</v>
      </c>
      <c r="M31" s="308">
        <f>IF(OR($B31&gt;$F$2,M$26&gt;$F$3),0,SUM(N$9:$N12)+SUM($C14:L$20))</f>
        <v>0</v>
      </c>
      <c r="N31" s="308">
        <f>IF(OR($B31&gt;$F$2,N$26&gt;$F$3),0,SUM($N$9:O12)+SUM($C14:M$20))</f>
        <v>0</v>
      </c>
      <c r="Q31" s="166" t="s">
        <v>130</v>
      </c>
    </row>
    <row r="32" spans="1:17" ht="12.75">
      <c r="A32" s="29"/>
      <c r="B32" s="264">
        <f>'Excerpt WDH'!B44</f>
        <v>6</v>
      </c>
      <c r="C32" s="307">
        <f>SUM(D$9:$N13)</f>
        <v>2930</v>
      </c>
      <c r="D32" s="308">
        <f>IF(OR($B32&gt;$F$2,D$26&gt;$F$3),0,SUM(E$9:$N13)+SUM($C15:C$20))</f>
        <v>1478</v>
      </c>
      <c r="E32" s="308">
        <f>IF(OR($B32&gt;$F$2,E$26&gt;$F$3),0,SUM(F$9:$N13)+SUM($C15:D$20))</f>
        <v>184</v>
      </c>
      <c r="F32" s="308">
        <f>IF(OR($B32&gt;$F$2,F$26&gt;$F$3),0,SUM(G$9:$N13)+SUM($C15:E$20))</f>
        <v>0</v>
      </c>
      <c r="G32" s="308">
        <f>IF(OR($B32&gt;$F$2,G$26&gt;$F$3),0,SUM(H$9:$N13)+SUM($C15:F$20))</f>
        <v>0</v>
      </c>
      <c r="H32" s="308">
        <f>IF(OR($B32&gt;$F$2,H$26&gt;$F$3),0,SUM(I$9:$N13)+SUM($C15:G$20))</f>
        <v>0</v>
      </c>
      <c r="I32" s="308">
        <f>IF(OR($B32&gt;$F$2,I$26&gt;$F$3),0,SUM(J$9:$N13)+SUM($C15:H$20))</f>
        <v>0</v>
      </c>
      <c r="J32" s="308">
        <f>IF(OR($B32&gt;$F$2,J$26&gt;$F$3),0,SUM(K$9:$N13)+SUM($C15:I$20))</f>
        <v>0</v>
      </c>
      <c r="K32" s="308">
        <f>IF(OR($B32&gt;$F$2,K$26&gt;$F$3),0,SUM(L$9:$N13)+SUM($C15:J$20))</f>
        <v>0</v>
      </c>
      <c r="L32" s="308">
        <f>IF(OR($B32&gt;$F$2,L$26&gt;$F$3),0,SUM(M$9:$N13)+SUM($C15:K$20))</f>
        <v>0</v>
      </c>
      <c r="M32" s="308">
        <f>IF(OR($B32&gt;$F$2,M$26&gt;$F$3),0,SUM(N$9:$N13)+SUM($C15:L$20))</f>
        <v>0</v>
      </c>
      <c r="N32" s="308">
        <f>IF(OR($B32&gt;$F$2,N$26&gt;$F$3),0,SUM($N$9:O13)+SUM($C15:M$20))</f>
        <v>0</v>
      </c>
      <c r="Q32" s="167">
        <f>Statistics!E10</f>
        <v>2579958</v>
      </c>
    </row>
    <row r="33" spans="1:17" ht="12.75">
      <c r="A33" s="29"/>
      <c r="B33" s="264">
        <f>'Excerpt WDH'!B45</f>
        <v>5</v>
      </c>
      <c r="C33" s="307">
        <f>SUM(D$9:$N14)</f>
        <v>3100</v>
      </c>
      <c r="D33" s="308">
        <f>IF(OR($B33&gt;$F$2,D$26&gt;$F$3),0,SUM(E$9:$N14)+SUM($C16:C$20))</f>
        <v>1511</v>
      </c>
      <c r="E33" s="308">
        <f>IF(OR($B33&gt;$F$2,E$26&gt;$F$3),0,SUM(F$9:$N14)+SUM($C16:D$20))</f>
        <v>58</v>
      </c>
      <c r="F33" s="308">
        <f>IF(OR($B33&gt;$F$2,F$26&gt;$F$3),0,SUM(G$9:$N14)+SUM($C16:E$20))</f>
        <v>0</v>
      </c>
      <c r="G33" s="308">
        <f>IF(OR($B33&gt;$F$2,G$26&gt;$F$3),0,SUM(H$9:$N14)+SUM($C16:F$20))</f>
        <v>0</v>
      </c>
      <c r="H33" s="308">
        <f>IF(OR($B33&gt;$F$2,H$26&gt;$F$3),0,SUM(I$9:$N14)+SUM($C16:G$20))</f>
        <v>0</v>
      </c>
      <c r="I33" s="308">
        <f>IF(OR($B33&gt;$F$2,I$26&gt;$F$3),0,SUM(J$9:$N14)+SUM($C16:H$20))</f>
        <v>0</v>
      </c>
      <c r="J33" s="308">
        <f>IF(OR($B33&gt;$F$2,J$26&gt;$F$3),0,SUM(K$9:$N14)+SUM($C16:I$20))</f>
        <v>0</v>
      </c>
      <c r="K33" s="308">
        <f>IF(OR($B33&gt;$F$2,K$26&gt;$F$3),0,SUM(L$9:$N14)+SUM($C16:J$20))</f>
        <v>0</v>
      </c>
      <c r="L33" s="308">
        <f>IF(OR($B33&gt;$F$2,L$26&gt;$F$3),0,SUM(M$9:$N14)+SUM($C16:K$20))</f>
        <v>0</v>
      </c>
      <c r="M33" s="308">
        <f>IF(OR($B33&gt;$F$2,M$26&gt;$F$3),0,SUM(N$9:$N14)+SUM($C16:L$20))</f>
        <v>0</v>
      </c>
      <c r="N33" s="308">
        <f>IF(OR($B33&gt;$F$2,N$26&gt;$F$3),0,SUM($N$9:O14)+SUM($C16:M$20))</f>
        <v>0</v>
      </c>
      <c r="Q33" s="87" t="s">
        <v>131</v>
      </c>
    </row>
    <row r="34" spans="1:17" ht="12.75">
      <c r="A34" s="29"/>
      <c r="B34" s="264">
        <f>'Excerpt WDH'!B46</f>
        <v>4</v>
      </c>
      <c r="C34" s="307">
        <f>SUM(D$9:$N15)</f>
        <v>3207</v>
      </c>
      <c r="D34" s="308">
        <f>IF(OR($B34&gt;$F$2,D$26&gt;$F$3),0,SUM(E$9:$N15)+SUM($C17:C$20))</f>
        <v>1548</v>
      </c>
      <c r="E34" s="308">
        <f>IF(OR($B34&gt;$F$2,E$26&gt;$F$3),0,SUM(F$9:$N15)+SUM($C17:D$20))</f>
        <v>32</v>
      </c>
      <c r="F34" s="308">
        <f>IF(OR($B34&gt;$F$2,F$26&gt;$F$3),0,SUM(G$9:$N15)+SUM($C17:E$20))</f>
        <v>0</v>
      </c>
      <c r="G34" s="308">
        <f>IF(OR($B34&gt;$F$2,G$26&gt;$F$3),0,SUM(H$9:$N15)+SUM($C17:F$20))</f>
        <v>0</v>
      </c>
      <c r="H34" s="308">
        <f>IF(OR($B34&gt;$F$2,H$26&gt;$F$3),0,SUM(I$9:$N15)+SUM($C17:G$20))</f>
        <v>0</v>
      </c>
      <c r="I34" s="308">
        <f>IF(OR($B34&gt;$F$2,I$26&gt;$F$3),0,SUM(J$9:$N15)+SUM($C17:H$20))</f>
        <v>0</v>
      </c>
      <c r="J34" s="308">
        <f>IF(OR($B34&gt;$F$2,J$26&gt;$F$3),0,SUM(K$9:$N15)+SUM($C17:I$20))</f>
        <v>0</v>
      </c>
      <c r="K34" s="308">
        <f>IF(OR($B34&gt;$F$2,K$26&gt;$F$3),0,SUM(L$9:$N15)+SUM($C17:J$20))</f>
        <v>0</v>
      </c>
      <c r="L34" s="308">
        <f>IF(OR($B34&gt;$F$2,L$26&gt;$F$3),0,SUM(M$9:$N15)+SUM($C17:K$20))</f>
        <v>0</v>
      </c>
      <c r="M34" s="308">
        <f>IF(OR($B34&gt;$F$2,M$26&gt;$F$3),0,SUM(N$9:$N15)+SUM($C17:L$20))</f>
        <v>0</v>
      </c>
      <c r="N34" s="308">
        <f>IF(OR($B34&gt;$F$2,N$26&gt;$F$3),0,SUM($N$9:O15)+SUM($C17:M$20))</f>
        <v>0</v>
      </c>
      <c r="Q34" s="164">
        <f>Statistics!E11</f>
        <v>3078261</v>
      </c>
    </row>
    <row r="35" spans="1:17" ht="12.75">
      <c r="A35" s="29"/>
      <c r="B35" s="264">
        <f>'Excerpt WDH'!B47</f>
        <v>3</v>
      </c>
      <c r="C35" s="307">
        <f>SUM(D$9:$N16)</f>
        <v>3228</v>
      </c>
      <c r="D35" s="308">
        <f>IF(OR($B35&gt;$F$2,D$26&gt;$F$3),0,SUM(E$9:$N16)+SUM($C18:C$20))</f>
        <v>1549</v>
      </c>
      <c r="E35" s="308">
        <f>IF(OR($B35&gt;$F$2,E$26&gt;$F$3),0,SUM(F$9:$N16)+SUM($C18:D$20))</f>
        <v>19</v>
      </c>
      <c r="F35" s="308">
        <f>IF(OR($B35&gt;$F$2,F$26&gt;$F$3),0,SUM(G$9:$N16)+SUM($C18:E$20))</f>
        <v>0</v>
      </c>
      <c r="G35" s="308">
        <f>IF(OR($B35&gt;$F$2,G$26&gt;$F$3),0,SUM(H$9:$N16)+SUM($C18:F$20))</f>
        <v>0</v>
      </c>
      <c r="H35" s="308">
        <f>IF(OR($B35&gt;$F$2,H$26&gt;$F$3),0,SUM(I$9:$N16)+SUM($C18:G$20))</f>
        <v>0</v>
      </c>
      <c r="I35" s="308">
        <f>IF(OR($B35&gt;$F$2,I$26&gt;$F$3),0,SUM(J$9:$N16)+SUM($C18:H$20))</f>
        <v>0</v>
      </c>
      <c r="J35" s="308">
        <f>IF(OR($B35&gt;$F$2,J$26&gt;$F$3),0,SUM(K$9:$N16)+SUM($C18:I$20))</f>
        <v>0</v>
      </c>
      <c r="K35" s="308">
        <f>IF(OR($B35&gt;$F$2,K$26&gt;$F$3),0,SUM(L$9:$N16)+SUM($C18:J$20))</f>
        <v>0</v>
      </c>
      <c r="L35" s="308">
        <f>IF(OR($B35&gt;$F$2,L$26&gt;$F$3),0,SUM(M$9:$N16)+SUM($C18:K$20))</f>
        <v>0</v>
      </c>
      <c r="M35" s="308">
        <f>IF(OR($B35&gt;$F$2,M$26&gt;$F$3),0,SUM(N$9:$N16)+SUM($C18:L$20))</f>
        <v>0</v>
      </c>
      <c r="N35" s="308">
        <f>IF(OR($B35&gt;$F$2,N$26&gt;$F$3),0,SUM($N$9:O16)+SUM($C18:M$20))</f>
        <v>0</v>
      </c>
      <c r="Q35" s="166" t="s">
        <v>132</v>
      </c>
    </row>
    <row r="36" spans="1:17" ht="13.5" thickBot="1">
      <c r="A36" s="29"/>
      <c r="B36" s="264">
        <f>'Excerpt WDH'!B48</f>
        <v>2</v>
      </c>
      <c r="C36" s="307">
        <f>SUM(D$9:$N17)</f>
        <v>3234</v>
      </c>
      <c r="D36" s="308">
        <f>IF(OR($B36&gt;$F$2,D$26&gt;$F$3),0,SUM(E$9:$N17)+SUM($C19:C$20))</f>
        <v>1546</v>
      </c>
      <c r="E36" s="308">
        <f>IF(OR($B36&gt;$F$2,E$26&gt;$F$3),0,SUM(F$9:$N17)+SUM($C19:D$20))</f>
        <v>11</v>
      </c>
      <c r="F36" s="308">
        <f>IF(OR($B36&gt;$F$2,F$26&gt;$F$3),0,SUM(G$9:$N17)+SUM($C19:E$20))</f>
        <v>0</v>
      </c>
      <c r="G36" s="308">
        <f>IF(OR($B36&gt;$F$2,G$26&gt;$F$3),0,SUM(H$9:$N17)+SUM($C19:F$20))</f>
        <v>0</v>
      </c>
      <c r="H36" s="308">
        <f>IF(OR($B36&gt;$F$2,H$26&gt;$F$3),0,SUM(I$9:$N17)+SUM($C19:G$20))</f>
        <v>0</v>
      </c>
      <c r="I36" s="308">
        <f>IF(OR($B36&gt;$F$2,I$26&gt;$F$3),0,SUM(J$9:$N17)+SUM($C19:H$20))</f>
        <v>0</v>
      </c>
      <c r="J36" s="308">
        <f>IF(OR($B36&gt;$F$2,J$26&gt;$F$3),0,SUM(K$9:$N17)+SUM($C19:I$20))</f>
        <v>0</v>
      </c>
      <c r="K36" s="308">
        <f>IF(OR($B36&gt;$F$2,K$26&gt;$F$3),0,SUM(L$9:$N17)+SUM($C19:J$20))</f>
        <v>0</v>
      </c>
      <c r="L36" s="308">
        <f>IF(OR($B36&gt;$F$2,L$26&gt;$F$3),0,SUM(M$9:$N17)+SUM($C19:K$20))</f>
        <v>0</v>
      </c>
      <c r="M36" s="308">
        <f>IF(OR($B36&gt;$F$2,M$26&gt;$F$3),0,SUM(N$9:$N17)+SUM($C19:L$20))</f>
        <v>0</v>
      </c>
      <c r="N36" s="308">
        <f>IF(OR($B36&gt;$F$2,N$26&gt;$F$3),0,SUM($N$9:O17)+SUM($C19:M$20))</f>
        <v>0</v>
      </c>
      <c r="Q36" s="165">
        <f>Q32-Q34</f>
        <v>-498303</v>
      </c>
    </row>
    <row r="37" spans="1:14" ht="12.75">
      <c r="A37" s="29"/>
      <c r="B37" s="264">
        <f>'Excerpt WDH'!B49</f>
        <v>1</v>
      </c>
      <c r="C37" s="307">
        <f>SUM(D$9:$N18)</f>
        <v>3241</v>
      </c>
      <c r="D37" s="308">
        <f>IF(OR($B37&gt;$F$2,D$26&gt;$F$3),0,SUM(E$9:$N18)+SUM($C20:C$20))</f>
        <v>1550</v>
      </c>
      <c r="E37" s="308">
        <f>IF(OR($B37&gt;$F$2,E$26&gt;$F$3),0,SUM(F$9:$N18)+SUM($C20:D$20))</f>
        <v>8</v>
      </c>
      <c r="F37" s="308">
        <f>IF(OR($B37&gt;$F$2,F$26&gt;$F$3),0,SUM(G$9:$N18)+SUM($C20:E$20))</f>
        <v>0</v>
      </c>
      <c r="G37" s="308">
        <f>IF(OR($B37&gt;$F$2,G$26&gt;$F$3),0,SUM(H$9:$N18)+SUM($C20:F$20))</f>
        <v>0</v>
      </c>
      <c r="H37" s="308">
        <f>IF(OR($B37&gt;$F$2,H$26&gt;$F$3),0,SUM(I$9:$N18)+SUM($C20:G$20))</f>
        <v>0</v>
      </c>
      <c r="I37" s="308">
        <f>IF(OR($B37&gt;$F$2,I$26&gt;$F$3),0,SUM(J$9:$N18)+SUM($C20:H$20))</f>
        <v>0</v>
      </c>
      <c r="J37" s="308">
        <f>IF(OR($B37&gt;$F$2,J$26&gt;$F$3),0,SUM(K$9:$N18)+SUM($C20:I$20))</f>
        <v>0</v>
      </c>
      <c r="K37" s="308">
        <f>IF(OR($B37&gt;$F$2,K$26&gt;$F$3),0,SUM(L$9:$N18)+SUM($C20:J$20))</f>
        <v>0</v>
      </c>
      <c r="L37" s="308">
        <f>IF(OR($B37&gt;$F$2,L$26&gt;$F$3),0,SUM(M$9:$N18)+SUM($C20:K$20))</f>
        <v>0</v>
      </c>
      <c r="M37" s="308">
        <f>IF(OR($B37&gt;$F$2,M$26&gt;$F$3),0,SUM(N$9:$N18)+SUM($C20:L$20))</f>
        <v>0</v>
      </c>
      <c r="N37" s="308">
        <f>IF(OR($B37&gt;$F$2,N$26&gt;$F$3),0,SUM($N$9:O18)+SUM($C20:M$20))</f>
        <v>0</v>
      </c>
    </row>
    <row r="38" spans="1:14" ht="13.5" thickBot="1">
      <c r="A38" s="29"/>
      <c r="B38" s="264">
        <f>'Excerpt WDH'!B50</f>
        <v>0</v>
      </c>
      <c r="C38" s="309">
        <f>SUM(D$9:$N19)</f>
        <v>3243</v>
      </c>
      <c r="D38" s="310">
        <f>IF(OR($B38&gt;$F$2,D$26&gt;$F$3),0,SUM(E$9:$N19))</f>
        <v>1544</v>
      </c>
      <c r="E38" s="310">
        <f>IF(OR($B38&gt;$F$2,E$26&gt;$F$3),0,SUM(F$9:$N19))</f>
        <v>0</v>
      </c>
      <c r="F38" s="310">
        <f>IF(OR($B38&gt;$F$2,F$26&gt;$F$3),0,SUM(G$9:$N19))</f>
        <v>0</v>
      </c>
      <c r="G38" s="310">
        <f>IF(OR($B38&gt;$F$2,G$26&gt;$F$3),0,SUM(H$9:$N19))</f>
        <v>0</v>
      </c>
      <c r="H38" s="310">
        <f>IF(OR($B38&gt;$F$2,H$26&gt;$F$3),0,SUM(I$9:$N19))</f>
        <v>0</v>
      </c>
      <c r="I38" s="310">
        <f>IF(OR($B38&gt;$F$2,I$26&gt;$F$3),0,SUM(J$9:$N19))</f>
        <v>0</v>
      </c>
      <c r="J38" s="310">
        <f>IF(OR($B38&gt;$F$2,J$26&gt;$F$3),0,SUM(K$9:$N19))</f>
        <v>0</v>
      </c>
      <c r="K38" s="310">
        <f>IF(OR($B38&gt;$F$2,K$26&gt;$F$3),0,SUM(L$9:$N19))</f>
        <v>0</v>
      </c>
      <c r="L38" s="310">
        <f>IF(OR($B38&gt;$F$2,L$26&gt;$F$3),0,SUM(M$9:$N19))</f>
        <v>0</v>
      </c>
      <c r="M38" s="310">
        <f>IF(OR($B38&gt;$F$2,M$26&gt;$F$3),0,SUM(N$9:$N19))</f>
        <v>0</v>
      </c>
      <c r="N38" s="310">
        <v>0</v>
      </c>
    </row>
    <row r="39" spans="1:16" ht="12.75">
      <c r="A39" s="29"/>
      <c r="E39" s="122"/>
      <c r="P39" s="122"/>
    </row>
    <row r="40" ht="13.5" thickBot="1">
      <c r="A40" s="74" t="s">
        <v>79</v>
      </c>
    </row>
    <row r="41" spans="1:14" ht="13.5" thickBot="1">
      <c r="A41" s="29"/>
      <c r="B41" s="30"/>
      <c r="C41" s="31">
        <v>1</v>
      </c>
      <c r="D41" s="32">
        <f aca="true" t="shared" si="6" ref="D41:N41">C41+1</f>
        <v>2</v>
      </c>
      <c r="E41" s="32">
        <f t="shared" si="6"/>
        <v>3</v>
      </c>
      <c r="F41" s="32">
        <f t="shared" si="6"/>
        <v>4</v>
      </c>
      <c r="G41" s="32">
        <f t="shared" si="6"/>
        <v>5</v>
      </c>
      <c r="H41" s="32">
        <f t="shared" si="6"/>
        <v>6</v>
      </c>
      <c r="I41" s="32">
        <f t="shared" si="6"/>
        <v>7</v>
      </c>
      <c r="J41" s="32">
        <f t="shared" si="6"/>
        <v>8</v>
      </c>
      <c r="K41" s="32">
        <f t="shared" si="6"/>
        <v>9</v>
      </c>
      <c r="L41" s="32">
        <f t="shared" si="6"/>
        <v>10</v>
      </c>
      <c r="M41" s="32">
        <f t="shared" si="6"/>
        <v>11</v>
      </c>
      <c r="N41" s="33">
        <f t="shared" si="6"/>
        <v>12</v>
      </c>
    </row>
    <row r="42" spans="1:14" ht="12.75">
      <c r="A42" s="29"/>
      <c r="B42" s="264">
        <f>'Excerpt WDH'!B39</f>
      </c>
      <c r="C42" s="311">
        <f>IF(B42&gt;F2,0,SUM(D10:$N$20))</f>
        <v>0</v>
      </c>
      <c r="D42" s="312">
        <f>IF(OR($B42&gt;$F$2,D$41&gt;$F$3),0,SUM(E10:$N$20))</f>
        <v>0</v>
      </c>
      <c r="E42" s="312">
        <f>IF(OR($B42&gt;$F$2,E$41&gt;$F$3),0,SUM(F10:$N$20))</f>
        <v>0</v>
      </c>
      <c r="F42" s="312">
        <f>IF(OR($B42&gt;$F$2,F$41&gt;$F$3),0,SUM(G10:$N$20))</f>
        <v>0</v>
      </c>
      <c r="G42" s="312">
        <f>IF(OR($B42&gt;$F$2,G$41&gt;$F$3),0,SUM(H10:$N$20))</f>
        <v>0</v>
      </c>
      <c r="H42" s="312">
        <f>IF(OR($B42&gt;$F$2,H$41&gt;$F$3),0,SUM(I10:$N$20))</f>
        <v>0</v>
      </c>
      <c r="I42" s="312">
        <f>IF(OR($B42&gt;$F$2,I$41&gt;$F$3),0,SUM(J10:$N$20))</f>
        <v>0</v>
      </c>
      <c r="J42" s="312">
        <f>IF(OR($B42&gt;$F$2,J$41&gt;$F$3),0,SUM(K10:$N$20))</f>
        <v>0</v>
      </c>
      <c r="K42" s="312">
        <f>IF(OR($B42&gt;$F$2,K$41&gt;$F$3),0,SUM(L10:$N$20))</f>
        <v>0</v>
      </c>
      <c r="L42" s="312">
        <f>IF(OR($B42&gt;$F$2,L$41&gt;$F$3),0,SUM(M10:$N$20))</f>
        <v>0</v>
      </c>
      <c r="M42" s="312">
        <f>IF(OR($B42&gt;$F$2,M$41&gt;$F$3),0,SUM(N10:$N$20))</f>
        <v>0</v>
      </c>
      <c r="N42" s="313">
        <v>0</v>
      </c>
    </row>
    <row r="43" spans="1:14" ht="12.75">
      <c r="A43" s="29"/>
      <c r="B43" s="264">
        <f>'Excerpt WDH'!B40</f>
        <v>10</v>
      </c>
      <c r="C43" s="314">
        <f>IF(OR($B43&gt;$F$2,D$41&gt;$F$2),0,SUM(D11:$N$20))</f>
        <v>2877</v>
      </c>
      <c r="D43" s="315">
        <f>IF(OR($B43&gt;$F$2,D$41&gt;$F$3),0,SUM($C$9:C9)+SUM(E11:$N$20))</f>
        <v>1387</v>
      </c>
      <c r="E43" s="315">
        <f>IF(OR($B43&gt;$F$2,E$41&gt;$F$3),0,SUM($C$9:D9)+SUM(F11:$N$20))</f>
        <v>0</v>
      </c>
      <c r="F43" s="315">
        <f>IF(OR($B43&gt;$F$2,F$41&gt;$F$3),0,SUM($C$9:E9)+SUM(G11:$N$20))</f>
        <v>0</v>
      </c>
      <c r="G43" s="315">
        <f>IF(OR($B43&gt;$F$2,G$41&gt;$F$3),0,SUM($C$9:F9)+SUM(H11:$N$20))</f>
        <v>0</v>
      </c>
      <c r="H43" s="315">
        <f>IF(OR($B43&gt;$F$2,H$41&gt;$F$3),0,SUM($C$9:G9)+SUM(I11:$N$20))</f>
        <v>0</v>
      </c>
      <c r="I43" s="315">
        <f>IF(OR($B43&gt;$F$2,I$41&gt;$F$3),0,SUM($C$9:H9)+SUM(J11:$N$20))</f>
        <v>0</v>
      </c>
      <c r="J43" s="315">
        <f>IF(OR($B43&gt;$F$2,J$41&gt;$F$3),0,SUM($C$9:I9)+SUM(K11:$N$20))</f>
        <v>0</v>
      </c>
      <c r="K43" s="315">
        <f>IF(OR($B43&gt;$F$2,K$41&gt;$F$3),0,SUM($C$9:J9)+SUM(L11:$N$20))</f>
        <v>0</v>
      </c>
      <c r="L43" s="315">
        <f>IF(OR($B43&gt;$F$2,L$41&gt;$F$3),0,SUM($C$9:K9)+SUM(M11:$N$20))</f>
        <v>0</v>
      </c>
      <c r="M43" s="315">
        <f>IF(OR($B43&gt;$F$2,M$41&gt;$F$3),0,SUM($C$9:L9)+SUM(N11:$N$20))</f>
        <v>0</v>
      </c>
      <c r="N43" s="316">
        <f>IF(OR($B43&gt;$F$2,N$41&gt;$F$3),0,SUM($C$9:M9))</f>
        <v>0</v>
      </c>
    </row>
    <row r="44" spans="1:14" ht="12.75">
      <c r="A44" s="29"/>
      <c r="B44" s="264">
        <f>'Excerpt WDH'!B41</f>
        <v>9</v>
      </c>
      <c r="C44" s="314">
        <f>IF(OR($B44&gt;$F$2,D$41&gt;$F$2),0,SUM(D12:$N$20))</f>
        <v>2067</v>
      </c>
      <c r="D44" s="315">
        <f>IF(OR($B44&gt;$F$2,D$41&gt;$F$3),0,SUM($C$9:C10)+SUM(E12:$N$20))</f>
        <v>1295</v>
      </c>
      <c r="E44" s="315">
        <f>IF(OR($B44&gt;$F$2,E$41&gt;$F$3),0,SUM($C$9:D10)+SUM(F12:$N$20))</f>
        <v>474</v>
      </c>
      <c r="F44" s="315">
        <f>IF(OR($B44&gt;$F$2,F$41&gt;$F$3),0,SUM($C$9:E10)+SUM(G12:$N$20))</f>
        <v>0</v>
      </c>
      <c r="G44" s="315">
        <f>IF(OR($B44&gt;$F$2,G$41&gt;$F$3),0,SUM($C$9:F10)+SUM(H12:$N$20))</f>
        <v>0</v>
      </c>
      <c r="H44" s="315">
        <f>IF(OR($B44&gt;$F$2,H$41&gt;$F$3),0,SUM($C$9:G10)+SUM(I12:$N$20))</f>
        <v>0</v>
      </c>
      <c r="I44" s="315">
        <f>IF(OR($B44&gt;$F$2,I$41&gt;$F$3),0,SUM($C$9:H10)+SUM(J12:$N$20))</f>
        <v>0</v>
      </c>
      <c r="J44" s="315">
        <f>IF(OR($B44&gt;$F$2,J$41&gt;$F$3),0,SUM($C$9:I10)+SUM(K12:$N$20))</f>
        <v>0</v>
      </c>
      <c r="K44" s="315">
        <f>IF(OR($B44&gt;$F$2,K$41&gt;$F$3),0,SUM($C$9:J10)+SUM(L12:$N$20))</f>
        <v>0</v>
      </c>
      <c r="L44" s="315">
        <f>IF(OR($B44&gt;$F$2,L$41&gt;$F$3),0,SUM($C$9:K10)+SUM(M12:$N$20))</f>
        <v>0</v>
      </c>
      <c r="M44" s="315">
        <f>IF(OR($B44&gt;$F$2,M$41&gt;$F$3),0,SUM($C$9:L10)+SUM(N12:$N$20))</f>
        <v>0</v>
      </c>
      <c r="N44" s="316">
        <f>IF(OR($B44&gt;$F$2,N$41&gt;$F$3),0,SUM($C$9:M10))</f>
        <v>0</v>
      </c>
    </row>
    <row r="45" spans="1:14" ht="12.75">
      <c r="A45" s="29"/>
      <c r="B45" s="264">
        <f>'Excerpt WDH'!B42</f>
        <v>8</v>
      </c>
      <c r="C45" s="314">
        <f>IF(OR($B45&gt;$F$2,D$41&gt;$F$2),0,SUM(D13:$N$20))</f>
        <v>944</v>
      </c>
      <c r="D45" s="315">
        <f>IF(OR($B45&gt;$F$2,D$41&gt;$F$3),0,SUM($C$9:C11)+SUM(E13:$N$20))</f>
        <v>1116</v>
      </c>
      <c r="E45" s="315">
        <f>IF(OR($B45&gt;$F$2,E$41&gt;$F$3),0,SUM($C$9:D11)+SUM(F13:$N$20))</f>
        <v>1285</v>
      </c>
      <c r="F45" s="315">
        <f>IF(OR($B45&gt;$F$2,F$41&gt;$F$3),0,SUM($C$9:E11)+SUM(G13:$N$20))</f>
        <v>0</v>
      </c>
      <c r="G45" s="315">
        <f>IF(OR($B45&gt;$F$2,G$41&gt;$F$3),0,SUM($C$9:F11)+SUM(H13:$N$20))</f>
        <v>0</v>
      </c>
      <c r="H45" s="315">
        <f>IF(OR($B45&gt;$F$2,H$41&gt;$F$3),0,SUM($C$9:G11)+SUM(I13:$N$20))</f>
        <v>0</v>
      </c>
      <c r="I45" s="315">
        <f>IF(OR($B45&gt;$F$2,I$41&gt;$F$3),0,SUM($C$9:H11)+SUM(J13:$N$20))</f>
        <v>0</v>
      </c>
      <c r="J45" s="315">
        <f>IF(OR($B45&gt;$F$2,J$41&gt;$F$3),0,SUM($C$9:I11)+SUM(K13:$N$20))</f>
        <v>0</v>
      </c>
      <c r="K45" s="315">
        <f>IF(OR($B45&gt;$F$2,K$41&gt;$F$3),0,SUM($C$9:J11)+SUM(L13:$N$20))</f>
        <v>0</v>
      </c>
      <c r="L45" s="315">
        <f>IF(OR($B45&gt;$F$2,L$41&gt;$F$3),0,SUM($C$9:K11)+SUM(M13:$N$20))</f>
        <v>0</v>
      </c>
      <c r="M45" s="315">
        <f>IF(OR($B45&gt;$F$2,M$41&gt;$F$3),0,SUM($C$9:L11)+SUM(N13:$N$20))</f>
        <v>0</v>
      </c>
      <c r="N45" s="316">
        <f>IF(OR($B45&gt;$F$2,N$41&gt;$F$3),0,SUM($C$9:M11))</f>
        <v>0</v>
      </c>
    </row>
    <row r="46" spans="1:14" ht="12.75">
      <c r="A46" s="29"/>
      <c r="B46" s="264">
        <f>'Excerpt WDH'!B43</f>
        <v>7</v>
      </c>
      <c r="C46" s="314">
        <f>IF(OR($B46&gt;$F$2,D$41&gt;$F$2),0,SUM(D14:$N$20))</f>
        <v>317</v>
      </c>
      <c r="D46" s="315">
        <f>IF(OR($B46&gt;$F$2,D$41&gt;$F$3),0,SUM($C$9:C12)+SUM(E14:$N$20))</f>
        <v>1207</v>
      </c>
      <c r="E46" s="315">
        <f>IF(OR($B46&gt;$F$2,E$41&gt;$F$3),0,SUM($C$9:D12)+SUM(F14:$N$20))</f>
        <v>2282</v>
      </c>
      <c r="F46" s="315">
        <f>IF(OR($B46&gt;$F$2,F$41&gt;$F$3),0,SUM($C$9:E12)+SUM(G14:$N$20))</f>
        <v>0</v>
      </c>
      <c r="G46" s="315">
        <f>IF(OR($B46&gt;$F$2,G$41&gt;$F$3),0,SUM($C$9:F12)+SUM(H14:$N$20))</f>
        <v>0</v>
      </c>
      <c r="H46" s="315">
        <f>IF(OR($B46&gt;$F$2,H$41&gt;$F$3),0,SUM($C$9:G12)+SUM(I14:$N$20))</f>
        <v>0</v>
      </c>
      <c r="I46" s="315">
        <f>IF(OR($B46&gt;$F$2,I$41&gt;$F$3),0,SUM($C$9:H12)+SUM(J14:$N$20))</f>
        <v>0</v>
      </c>
      <c r="J46" s="315">
        <f>IF(OR($B46&gt;$F$2,J$41&gt;$F$3),0,SUM($C$9:I12)+SUM(K14:$N$20))</f>
        <v>0</v>
      </c>
      <c r="K46" s="315">
        <f>IF(OR($B46&gt;$F$2,K$41&gt;$F$3),0,SUM($C$9:J12)+SUM(L14:$N$20))</f>
        <v>0</v>
      </c>
      <c r="L46" s="315">
        <f>IF(OR($B46&gt;$F$2,L$41&gt;$F$3),0,SUM($C$9:K12)+SUM(M14:$N$20))</f>
        <v>0</v>
      </c>
      <c r="M46" s="315">
        <f>IF(OR($B46&gt;$F$2,M$41&gt;$F$3),0,SUM($C$9:L12)+SUM(N14:$N$20))</f>
        <v>0</v>
      </c>
      <c r="N46" s="316">
        <f>IF(OR($B46&gt;$F$2,N$41&gt;$F$3),0,SUM($C$9:M12))</f>
        <v>0</v>
      </c>
    </row>
    <row r="47" spans="1:14" ht="12.75">
      <c r="A47" s="29"/>
      <c r="B47" s="264">
        <f>'Excerpt WDH'!B44</f>
        <v>6</v>
      </c>
      <c r="C47" s="314">
        <f>IF(OR($B47&gt;$F$2,D$41&gt;$F$2),0,SUM(D15:$N$20))</f>
        <v>147</v>
      </c>
      <c r="D47" s="315">
        <f>IF(OR($B47&gt;$F$2,D$41&gt;$F$3),0,SUM($C$9:C13)+SUM(E15:$N$20))</f>
        <v>1322</v>
      </c>
      <c r="E47" s="315">
        <f>IF(OR($B47&gt;$F$2,E$41&gt;$F$3),0,SUM($C$9:D13)+SUM(F15:$N$20))</f>
        <v>2811</v>
      </c>
      <c r="F47" s="315">
        <f>IF(OR($B47&gt;$F$2,F$41&gt;$F$3),0,SUM($C$9:E13)+SUM(G15:$N$20))</f>
        <v>0</v>
      </c>
      <c r="G47" s="315">
        <f>IF(OR($B47&gt;$F$2,G$41&gt;$F$3),0,SUM($C$9:F13)+SUM(H15:$N$20))</f>
        <v>0</v>
      </c>
      <c r="H47" s="315">
        <f>IF(OR($B47&gt;$F$2,H$41&gt;$F$3),0,SUM($C$9:G13)+SUM(I15:$N$20))</f>
        <v>0</v>
      </c>
      <c r="I47" s="315">
        <f>IF(OR($B47&gt;$F$2,I$41&gt;$F$3),0,SUM($C$9:H13)+SUM(J15:$N$20))</f>
        <v>0</v>
      </c>
      <c r="J47" s="315">
        <f>IF(OR($B47&gt;$F$2,J$41&gt;$F$3),0,SUM($C$9:I13)+SUM(K15:$N$20))</f>
        <v>0</v>
      </c>
      <c r="K47" s="315">
        <f>IF(OR($B47&gt;$F$2,K$41&gt;$F$3),0,SUM($C$9:J13)+SUM(L15:$N$20))</f>
        <v>0</v>
      </c>
      <c r="L47" s="315">
        <f>IF(OR($B47&gt;$F$2,L$41&gt;$F$3),0,SUM($C$9:K13)+SUM(M15:$N$20))</f>
        <v>0</v>
      </c>
      <c r="M47" s="315">
        <f>IF(OR($B47&gt;$F$2,M$41&gt;$F$3),0,SUM($C$9:L13)+SUM(N15:$N$20))</f>
        <v>0</v>
      </c>
      <c r="N47" s="316">
        <f>IF(OR($B47&gt;$F$2,N$41&gt;$F$3),0,SUM($C$9:M13))</f>
        <v>0</v>
      </c>
    </row>
    <row r="48" spans="1:14" ht="12.75">
      <c r="A48" s="29"/>
      <c r="B48" s="264">
        <f>'Excerpt WDH'!B45</f>
        <v>5</v>
      </c>
      <c r="C48" s="314">
        <f>IF(OR($B48&gt;$F$2,D$41&gt;$F$2),0,SUM(D16:$N$20))</f>
        <v>40</v>
      </c>
      <c r="D48" s="315">
        <f>IF(OR($B48&gt;$F$2,D$41&gt;$F$3),0,SUM($C$9:C14)+SUM(E16:$N$20))</f>
        <v>1342</v>
      </c>
      <c r="E48" s="315">
        <f>IF(OR($B48&gt;$F$2,E$41&gt;$F$3),0,SUM($C$9:D14)+SUM(F16:$N$20))</f>
        <v>2949</v>
      </c>
      <c r="F48" s="315">
        <f>IF(OR($B48&gt;$F$2,F$41&gt;$F$3),0,SUM($C$9:E14)+SUM(G16:$N$20))</f>
        <v>0</v>
      </c>
      <c r="G48" s="315">
        <f>IF(OR($B48&gt;$F$2,G$41&gt;$F$3),0,SUM($C$9:F14)+SUM(H16:$N$20))</f>
        <v>0</v>
      </c>
      <c r="H48" s="315">
        <f>IF(OR($B48&gt;$F$2,H$41&gt;$F$3),0,SUM($C$9:G14)+SUM(I16:$N$20))</f>
        <v>0</v>
      </c>
      <c r="I48" s="315">
        <f>IF(OR($B48&gt;$F$2,I$41&gt;$F$3),0,SUM($C$9:H14)+SUM(J16:$N$20))</f>
        <v>0</v>
      </c>
      <c r="J48" s="315">
        <f>IF(OR($B48&gt;$F$2,J$41&gt;$F$3),0,SUM($C$9:I14)+SUM(K16:$N$20))</f>
        <v>0</v>
      </c>
      <c r="K48" s="315">
        <f>IF(OR($B48&gt;$F$2,K$41&gt;$F$3),0,SUM($C$9:J14)+SUM(L16:$N$20))</f>
        <v>0</v>
      </c>
      <c r="L48" s="315">
        <f>IF(OR($B48&gt;$F$2,L$41&gt;$F$3),0,SUM($C$9:K14)+SUM(M16:$N$20))</f>
        <v>0</v>
      </c>
      <c r="M48" s="315">
        <f>IF(OR($B48&gt;$F$2,M$41&gt;$F$3),0,SUM($C$9:L14)+SUM(N16:$N$20))</f>
        <v>0</v>
      </c>
      <c r="N48" s="316">
        <f>IF(OR($B48&gt;$F$2,N$41&gt;$F$3),0,SUM($C$9:M14))</f>
        <v>0</v>
      </c>
    </row>
    <row r="49" spans="1:18" ht="12.75">
      <c r="A49" s="29"/>
      <c r="B49" s="264">
        <f>'Excerpt WDH'!B46</f>
        <v>4</v>
      </c>
      <c r="C49" s="314">
        <f>IF(OR($B49&gt;$F$2,D$41&gt;$F$2),0,SUM(D17:$N$20))</f>
        <v>19</v>
      </c>
      <c r="D49" s="315">
        <f>IF(OR($B49&gt;$F$2,D$41&gt;$F$3),0,SUM($C$9:C15)+SUM(E17:$N$20))</f>
        <v>1403</v>
      </c>
      <c r="E49" s="315">
        <f>IF(OR($B49&gt;$F$2,E$41&gt;$F$3),0,SUM($C$9:D15)+SUM(F17:$N$20))</f>
        <v>3075</v>
      </c>
      <c r="F49" s="315">
        <f>IF(OR($B49&gt;$F$2,F$41&gt;$F$3),0,SUM($C$9:E15)+SUM(G17:$N$20))</f>
        <v>0</v>
      </c>
      <c r="G49" s="315">
        <f>IF(OR($B49&gt;$F$2,G$41&gt;$F$3),0,SUM($C$9:F15)+SUM(H17:$N$20))</f>
        <v>0</v>
      </c>
      <c r="H49" s="315">
        <f>IF(OR($B49&gt;$F$2,H$41&gt;$F$3),0,SUM($C$9:G15)+SUM(I17:$N$20))</f>
        <v>0</v>
      </c>
      <c r="I49" s="315">
        <f>IF(OR($B49&gt;$F$2,I$41&gt;$F$3),0,SUM($C$9:H15)+SUM(J17:$N$20))</f>
        <v>0</v>
      </c>
      <c r="J49" s="315">
        <f>IF(OR($B49&gt;$F$2,J$41&gt;$F$3),0,SUM($C$9:I15)+SUM(K17:$N$20))</f>
        <v>0</v>
      </c>
      <c r="K49" s="315">
        <f>IF(OR($B49&gt;$F$2,K$41&gt;$F$3),0,SUM($C$9:J15)+SUM(L17:$N$20))</f>
        <v>0</v>
      </c>
      <c r="L49" s="315">
        <f>IF(OR($B49&gt;$F$2,L$41&gt;$F$3),0,SUM($C$9:K15)+SUM(M17:$N$20))</f>
        <v>0</v>
      </c>
      <c r="M49" s="315">
        <f>IF(OR($B49&gt;$F$2,M$41&gt;$F$3),0,SUM($C$9:L15)+SUM(N17:$N$20))</f>
        <v>0</v>
      </c>
      <c r="N49" s="316">
        <f>IF(OR($B49&gt;$F$2,N$41&gt;$F$3),0,SUM($C$9:M15))</f>
        <v>0</v>
      </c>
      <c r="R49" s="155" t="s">
        <v>200</v>
      </c>
    </row>
    <row r="50" spans="1:14" ht="12.75">
      <c r="A50" s="29"/>
      <c r="B50" s="264">
        <f>'Excerpt WDH'!B47</f>
        <v>3</v>
      </c>
      <c r="C50" s="314">
        <f>IF(OR($B50&gt;$F$2,D$41&gt;$F$2),0,SUM(D18:$N$20))</f>
        <v>13</v>
      </c>
      <c r="D50" s="315">
        <f>IF(OR($B50&gt;$F$2,D$41&gt;$F$3),0,SUM($C$9:C16)+SUM(E18:$N$20))</f>
        <v>1416</v>
      </c>
      <c r="E50" s="315">
        <f>IF(OR($B50&gt;$F$2,E$41&gt;$F$3),0,SUM($C$9:D16)+SUM(F18:$N$20))</f>
        <v>3101</v>
      </c>
      <c r="F50" s="315">
        <f>IF(OR($B50&gt;$F$2,F$41&gt;$F$3),0,SUM($C$9:E16)+SUM(G18:$N$20))</f>
        <v>0</v>
      </c>
      <c r="G50" s="315">
        <f>IF(OR($B50&gt;$F$2,G$41&gt;$F$3),0,SUM($C$9:F16)+SUM(H18:$N$20))</f>
        <v>0</v>
      </c>
      <c r="H50" s="315">
        <f>IF(OR($B50&gt;$F$2,H$41&gt;$F$3),0,SUM($C$9:G16)+SUM(I18:$N$20))</f>
        <v>0</v>
      </c>
      <c r="I50" s="315">
        <f>IF(OR($B50&gt;$F$2,I$41&gt;$F$3),0,SUM($C$9:H16)+SUM(J18:$N$20))</f>
        <v>0</v>
      </c>
      <c r="J50" s="315">
        <f>IF(OR($B50&gt;$F$2,J$41&gt;$F$3),0,SUM($C$9:I16)+SUM(K18:$N$20))</f>
        <v>0</v>
      </c>
      <c r="K50" s="315">
        <f>IF(OR($B50&gt;$F$2,K$41&gt;$F$3),0,SUM($C$9:J16)+SUM(L18:$N$20))</f>
        <v>0</v>
      </c>
      <c r="L50" s="315">
        <f>IF(OR($B50&gt;$F$2,L$41&gt;$F$3),0,SUM($C$9:K16)+SUM(M18:$N$20))</f>
        <v>0</v>
      </c>
      <c r="M50" s="315">
        <f>IF(OR($B50&gt;$F$2,M$41&gt;$F$3),0,SUM($C$9:L16)+SUM(N18:$N$20))</f>
        <v>0</v>
      </c>
      <c r="N50" s="316">
        <f>IF(OR($B50&gt;$F$2,N$41&gt;$F$3),0,SUM($C$9:M16))</f>
        <v>0</v>
      </c>
    </row>
    <row r="51" spans="1:14" ht="12.75">
      <c r="A51" s="29"/>
      <c r="B51" s="264">
        <f>'Excerpt WDH'!B48</f>
        <v>2</v>
      </c>
      <c r="C51" s="314">
        <f>IF(OR($B51&gt;$F$2,D$41&gt;$F$2),0,SUM(D19:$N$20))</f>
        <v>6</v>
      </c>
      <c r="D51" s="315">
        <f>IF(OR($B51&gt;$F$2,D$41&gt;$F$3),0,SUM($C$9:C17)+SUM(E19:$N$20))</f>
        <v>1421</v>
      </c>
      <c r="E51" s="315">
        <f>IF(OR($B51&gt;$F$2,E$41&gt;$F$3),0,SUM($C$9:D17)+SUM(F19:$N$20))</f>
        <v>3114</v>
      </c>
      <c r="F51" s="315">
        <f>IF(OR($B51&gt;$F$2,F$41&gt;$F$3),0,SUM($C$9:E17)+SUM(G19:$N$20))</f>
        <v>0</v>
      </c>
      <c r="G51" s="315">
        <f>IF(OR($B51&gt;$F$2,G$41&gt;$F$3),0,SUM($C$9:F17)+SUM(H19:$N$20))</f>
        <v>0</v>
      </c>
      <c r="H51" s="315">
        <f>IF(OR($B51&gt;$F$2,H$41&gt;$F$3),0,SUM($C$9:G17)+SUM(I19:$N$20))</f>
        <v>0</v>
      </c>
      <c r="I51" s="315">
        <f>IF(OR($B51&gt;$F$2,I$41&gt;$F$3),0,SUM($C$9:H17)+SUM(J19:$N$20))</f>
        <v>0</v>
      </c>
      <c r="J51" s="315">
        <f>IF(OR($B51&gt;$F$2,J$41&gt;$F$3),0,SUM($C$9:I17)+SUM(K19:$N$20))</f>
        <v>0</v>
      </c>
      <c r="K51" s="315">
        <f>IF(OR($B51&gt;$F$2,K$41&gt;$F$3),0,SUM($C$9:J17)+SUM(L19:$N$20))</f>
        <v>0</v>
      </c>
      <c r="L51" s="315">
        <f>IF(OR($B51&gt;$F$2,L$41&gt;$F$3),0,SUM($C$9:K17)+SUM(M19:$N$20))</f>
        <v>0</v>
      </c>
      <c r="M51" s="315">
        <f>IF(OR($B51&gt;$F$2,M$41&gt;$F$3),0,SUM($C$9:L17)+SUM(N19:$N$20))</f>
        <v>0</v>
      </c>
      <c r="N51" s="316">
        <f>IF(OR($B51&gt;$F$2,N$41&gt;$F$3),0,SUM($C$9:M17))</f>
        <v>0</v>
      </c>
    </row>
    <row r="52" spans="1:14" ht="12.75">
      <c r="A52" s="29"/>
      <c r="B52" s="264">
        <f>'Excerpt WDH'!B49</f>
        <v>1</v>
      </c>
      <c r="C52" s="314">
        <f>IF(OR($B52&gt;$F$2,D$41&gt;$F$2),0,SUM(D20:$N$20))</f>
        <v>4</v>
      </c>
      <c r="D52" s="315">
        <f>IF(OR($B52&gt;$F$2,D$41&gt;$F$3),0,SUM($C$9:C18)+SUM(E20:$N$20))</f>
        <v>1427</v>
      </c>
      <c r="E52" s="315">
        <f>IF(OR($B52&gt;$F$2,E$41&gt;$F$3),0,SUM($C$9:D18)+SUM(F20:$N$20))</f>
        <v>3122</v>
      </c>
      <c r="F52" s="315">
        <f>IF(OR($B52&gt;$F$2,F$41&gt;$F$3),0,SUM($C$9:E18)+SUM(G20:$N$20))</f>
        <v>0</v>
      </c>
      <c r="G52" s="315">
        <f>IF(OR($B52&gt;$F$2,G$41&gt;$F$3),0,SUM($C$9:F18)+SUM(H20:$N$20))</f>
        <v>0</v>
      </c>
      <c r="H52" s="315">
        <f>IF(OR($B52&gt;$F$2,H$41&gt;$F$3),0,SUM($C$9:G18)+SUM(I20:$N$20))</f>
        <v>0</v>
      </c>
      <c r="I52" s="315">
        <f>IF(OR($B52&gt;$F$2,I$41&gt;$F$3),0,SUM($C$9:H18)+SUM(J20:$N$20))</f>
        <v>0</v>
      </c>
      <c r="J52" s="315">
        <f>IF(OR($B52&gt;$F$2,J$41&gt;$F$3),0,SUM($C$9:I18)+SUM(K20:$N$20))</f>
        <v>0</v>
      </c>
      <c r="K52" s="315">
        <f>IF(OR($B52&gt;$F$2,K$41&gt;$F$3),0,SUM($C$9:J18)+SUM(L20:$N$20))</f>
        <v>0</v>
      </c>
      <c r="L52" s="315">
        <f>IF(OR($B52&gt;$F$2,L$41&gt;$F$3),0,SUM($C$9:K18)+SUM(M20:$N$20))</f>
        <v>0</v>
      </c>
      <c r="M52" s="315">
        <f>IF(OR($B52&gt;$F$2,M$41&gt;$F$3),0,SUM($C$9:L18)+SUM(N20:$N$20))</f>
        <v>0</v>
      </c>
      <c r="N52" s="316">
        <f>IF(OR($B52&gt;$F$2,N$41&gt;$F$3),0,SUM($C$9:M18))</f>
        <v>0</v>
      </c>
    </row>
    <row r="53" spans="1:14" ht="13.5" thickBot="1">
      <c r="A53" s="29"/>
      <c r="B53" s="264">
        <f>'Excerpt WDH'!B50</f>
        <v>0</v>
      </c>
      <c r="C53" s="317">
        <v>0</v>
      </c>
      <c r="D53" s="318">
        <f>IF(OR($B53&gt;$F$2,D$41&gt;$F$3),0,SUM($C$9:C19))</f>
        <v>1426</v>
      </c>
      <c r="E53" s="318">
        <f>IF(OR($B53&gt;$F$2,E$41&gt;$F$3),0,SUM($C$9:D19))</f>
        <v>3125</v>
      </c>
      <c r="F53" s="318">
        <f>IF(OR($B53&gt;$F$2,F$41&gt;$F$3),0,SUM($C$9:E19))</f>
        <v>0</v>
      </c>
      <c r="G53" s="318">
        <f>IF(OR($B53&gt;$F$2,G$41&gt;$F$3),0,SUM($C$9:F19))</f>
        <v>0</v>
      </c>
      <c r="H53" s="318">
        <f>IF(OR($B53&gt;$F$2,H$41&gt;$F$3),0,SUM($C$9:G19))</f>
        <v>0</v>
      </c>
      <c r="I53" s="318">
        <f>IF(OR($B53&gt;$F$2,I$41&gt;$F$3),0,SUM($C$9:H19))</f>
        <v>0</v>
      </c>
      <c r="J53" s="318">
        <f>IF(OR($B53&gt;$F$2,J$41&gt;$F$3),0,SUM($C$9:I19))</f>
        <v>0</v>
      </c>
      <c r="K53" s="318">
        <f>IF(OR($B53&gt;$F$2,K$41&gt;$F$3),0,SUM($C$9:J19))</f>
        <v>0</v>
      </c>
      <c r="L53" s="318">
        <f>IF(OR($B53&gt;$F$2,L$41&gt;$F$3),0,SUM($C$9:K19))</f>
        <v>0</v>
      </c>
      <c r="M53" s="318">
        <f>IF(OR($B53&gt;$F$2,M$41&gt;$F$3),0,SUM($C$9:L19))</f>
        <v>0</v>
      </c>
      <c r="N53" s="319">
        <f>IF(OR($B53&gt;$F$2,N$41&gt;$F$3),0,SUM($C$9:M19))</f>
        <v>0</v>
      </c>
    </row>
    <row r="54" spans="1:14" s="144" customFormat="1" ht="12.75">
      <c r="A54" s="79"/>
      <c r="B54" s="157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7" s="144" customFormat="1" ht="13.5" thickBot="1">
      <c r="A55" s="74" t="s">
        <v>123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144" customFormat="1" ht="13.5" thickBot="1">
      <c r="A56" s="29"/>
      <c r="B56" s="30"/>
      <c r="C56" s="31">
        <v>1</v>
      </c>
      <c r="D56" s="32">
        <f aca="true" t="shared" si="7" ref="D56:N56">C56+1</f>
        <v>2</v>
      </c>
      <c r="E56" s="32">
        <f t="shared" si="7"/>
        <v>3</v>
      </c>
      <c r="F56" s="32">
        <f t="shared" si="7"/>
        <v>4</v>
      </c>
      <c r="G56" s="32">
        <f t="shared" si="7"/>
        <v>5</v>
      </c>
      <c r="H56" s="32">
        <f t="shared" si="7"/>
        <v>6</v>
      </c>
      <c r="I56" s="32">
        <f t="shared" si="7"/>
        <v>7</v>
      </c>
      <c r="J56" s="32">
        <f t="shared" si="7"/>
        <v>8</v>
      </c>
      <c r="K56" s="32">
        <f t="shared" si="7"/>
        <v>9</v>
      </c>
      <c r="L56" s="32">
        <f t="shared" si="7"/>
        <v>10</v>
      </c>
      <c r="M56" s="32">
        <f t="shared" si="7"/>
        <v>11</v>
      </c>
      <c r="N56" s="33">
        <f t="shared" si="7"/>
        <v>12</v>
      </c>
      <c r="O56"/>
      <c r="P56" s="29"/>
      <c r="Q56" s="29"/>
    </row>
    <row r="57" spans="1:17" s="144" customFormat="1" ht="12.75">
      <c r="A57" s="29"/>
      <c r="B57" s="264">
        <f>'Excerpt WDH'!B39</f>
      </c>
      <c r="C57" s="311">
        <f aca="true" t="shared" si="8" ref="C57:N68">C9*C27</f>
        <v>0</v>
      </c>
      <c r="D57" s="312">
        <f t="shared" si="8"/>
        <v>0</v>
      </c>
      <c r="E57" s="312">
        <f t="shared" si="8"/>
        <v>0</v>
      </c>
      <c r="F57" s="312">
        <f t="shared" si="8"/>
        <v>0</v>
      </c>
      <c r="G57" s="312">
        <f t="shared" si="8"/>
        <v>0</v>
      </c>
      <c r="H57" s="312">
        <f t="shared" si="8"/>
        <v>0</v>
      </c>
      <c r="I57" s="312">
        <f t="shared" si="8"/>
        <v>0</v>
      </c>
      <c r="J57" s="312">
        <f t="shared" si="8"/>
        <v>0</v>
      </c>
      <c r="K57" s="312">
        <f t="shared" si="8"/>
        <v>0</v>
      </c>
      <c r="L57" s="312">
        <f t="shared" si="8"/>
        <v>0</v>
      </c>
      <c r="M57" s="312">
        <f t="shared" si="8"/>
        <v>0</v>
      </c>
      <c r="N57" s="313">
        <f t="shared" si="8"/>
        <v>0</v>
      </c>
      <c r="O57"/>
      <c r="P57" s="29"/>
      <c r="Q57" s="29"/>
    </row>
    <row r="58" spans="1:17" s="144" customFormat="1" ht="12.75">
      <c r="A58" s="29"/>
      <c r="B58" s="264">
        <f>'Excerpt WDH'!B40</f>
        <v>10</v>
      </c>
      <c r="C58" s="314">
        <f t="shared" si="8"/>
        <v>0</v>
      </c>
      <c r="D58" s="315">
        <f t="shared" si="8"/>
        <v>246659</v>
      </c>
      <c r="E58" s="315">
        <f t="shared" si="8"/>
        <v>422781</v>
      </c>
      <c r="F58" s="315">
        <f t="shared" si="8"/>
        <v>0</v>
      </c>
      <c r="G58" s="315">
        <f t="shared" si="8"/>
        <v>0</v>
      </c>
      <c r="H58" s="315">
        <f t="shared" si="8"/>
        <v>0</v>
      </c>
      <c r="I58" s="315">
        <f t="shared" si="8"/>
        <v>0</v>
      </c>
      <c r="J58" s="315">
        <f t="shared" si="8"/>
        <v>0</v>
      </c>
      <c r="K58" s="315">
        <f t="shared" si="8"/>
        <v>0</v>
      </c>
      <c r="L58" s="315">
        <f t="shared" si="8"/>
        <v>0</v>
      </c>
      <c r="M58" s="315">
        <f t="shared" si="8"/>
        <v>0</v>
      </c>
      <c r="N58" s="316">
        <f t="shared" si="8"/>
        <v>0</v>
      </c>
      <c r="O58"/>
      <c r="P58"/>
      <c r="Q58"/>
    </row>
    <row r="59" spans="1:17" s="144" customFormat="1" ht="12.75">
      <c r="A59" s="29"/>
      <c r="B59" s="264">
        <f>'Excerpt WDH'!B41</f>
        <v>9</v>
      </c>
      <c r="C59" s="314">
        <f t="shared" si="8"/>
        <v>131720</v>
      </c>
      <c r="D59" s="315">
        <f t="shared" si="8"/>
        <v>442260</v>
      </c>
      <c r="E59" s="315">
        <f t="shared" si="8"/>
        <v>656040</v>
      </c>
      <c r="F59" s="315">
        <f t="shared" si="8"/>
        <v>0</v>
      </c>
      <c r="G59" s="315">
        <f t="shared" si="8"/>
        <v>0</v>
      </c>
      <c r="H59" s="315">
        <f t="shared" si="8"/>
        <v>0</v>
      </c>
      <c r="I59" s="315">
        <f t="shared" si="8"/>
        <v>0</v>
      </c>
      <c r="J59" s="315">
        <f t="shared" si="8"/>
        <v>0</v>
      </c>
      <c r="K59" s="315">
        <f t="shared" si="8"/>
        <v>0</v>
      </c>
      <c r="L59" s="315">
        <f t="shared" si="8"/>
        <v>0</v>
      </c>
      <c r="M59" s="315">
        <f t="shared" si="8"/>
        <v>0</v>
      </c>
      <c r="N59" s="316">
        <f t="shared" si="8"/>
        <v>0</v>
      </c>
      <c r="O59"/>
      <c r="P59"/>
      <c r="Q59"/>
    </row>
    <row r="60" spans="1:17" s="144" customFormat="1" ht="12.75">
      <c r="A60" s="29"/>
      <c r="B60" s="264">
        <f>'Excerpt WDH'!B42</f>
        <v>8</v>
      </c>
      <c r="C60" s="314">
        <f t="shared" si="8"/>
        <v>482620</v>
      </c>
      <c r="D60" s="315">
        <f t="shared" si="8"/>
        <v>539784</v>
      </c>
      <c r="E60" s="315">
        <f t="shared" si="8"/>
        <v>455285</v>
      </c>
      <c r="F60" s="315">
        <f t="shared" si="8"/>
        <v>0</v>
      </c>
      <c r="G60" s="315">
        <f t="shared" si="8"/>
        <v>0</v>
      </c>
      <c r="H60" s="315">
        <f t="shared" si="8"/>
        <v>0</v>
      </c>
      <c r="I60" s="315">
        <f t="shared" si="8"/>
        <v>0</v>
      </c>
      <c r="J60" s="315">
        <f t="shared" si="8"/>
        <v>0</v>
      </c>
      <c r="K60" s="315">
        <f t="shared" si="8"/>
        <v>0</v>
      </c>
      <c r="L60" s="315">
        <f t="shared" si="8"/>
        <v>0</v>
      </c>
      <c r="M60" s="315">
        <f t="shared" si="8"/>
        <v>0</v>
      </c>
      <c r="N60" s="316">
        <f t="shared" si="8"/>
        <v>0</v>
      </c>
      <c r="O60"/>
      <c r="P60"/>
      <c r="Q60"/>
    </row>
    <row r="61" spans="1:17" s="144" customFormat="1" ht="12.75">
      <c r="A61" s="29"/>
      <c r="B61" s="264">
        <f>'Excerpt WDH'!B43</f>
        <v>7</v>
      </c>
      <c r="C61" s="314">
        <f t="shared" si="8"/>
        <v>506660</v>
      </c>
      <c r="D61" s="315">
        <f t="shared" si="8"/>
        <v>380997</v>
      </c>
      <c r="E61" s="315">
        <f t="shared" si="8"/>
        <v>102396</v>
      </c>
      <c r="F61" s="315">
        <f t="shared" si="8"/>
        <v>0</v>
      </c>
      <c r="G61" s="315">
        <f t="shared" si="8"/>
        <v>0</v>
      </c>
      <c r="H61" s="315">
        <f t="shared" si="8"/>
        <v>0</v>
      </c>
      <c r="I61" s="315">
        <f t="shared" si="8"/>
        <v>0</v>
      </c>
      <c r="J61" s="315">
        <f t="shared" si="8"/>
        <v>0</v>
      </c>
      <c r="K61" s="315">
        <f t="shared" si="8"/>
        <v>0</v>
      </c>
      <c r="L61" s="315">
        <f t="shared" si="8"/>
        <v>0</v>
      </c>
      <c r="M61" s="315">
        <f t="shared" si="8"/>
        <v>0</v>
      </c>
      <c r="N61" s="316">
        <f t="shared" si="8"/>
        <v>0</v>
      </c>
      <c r="O61"/>
      <c r="P61"/>
      <c r="Q61"/>
    </row>
    <row r="62" spans="1:17" s="144" customFormat="1" ht="12.75">
      <c r="A62" s="29"/>
      <c r="B62" s="264">
        <f>'Excerpt WDH'!B44</f>
        <v>6</v>
      </c>
      <c r="C62" s="314">
        <f t="shared" si="8"/>
        <v>213890</v>
      </c>
      <c r="D62" s="315">
        <f t="shared" si="8"/>
        <v>96070</v>
      </c>
      <c r="E62" s="315">
        <f t="shared" si="8"/>
        <v>19320</v>
      </c>
      <c r="F62" s="315">
        <f t="shared" si="8"/>
        <v>0</v>
      </c>
      <c r="G62" s="315">
        <f t="shared" si="8"/>
        <v>0</v>
      </c>
      <c r="H62" s="315">
        <f t="shared" si="8"/>
        <v>0</v>
      </c>
      <c r="I62" s="315">
        <f t="shared" si="8"/>
        <v>0</v>
      </c>
      <c r="J62" s="315">
        <f t="shared" si="8"/>
        <v>0</v>
      </c>
      <c r="K62" s="315">
        <f t="shared" si="8"/>
        <v>0</v>
      </c>
      <c r="L62" s="315">
        <f t="shared" si="8"/>
        <v>0</v>
      </c>
      <c r="M62" s="315">
        <f t="shared" si="8"/>
        <v>0</v>
      </c>
      <c r="N62" s="316">
        <f t="shared" si="8"/>
        <v>0</v>
      </c>
      <c r="O62"/>
      <c r="P62"/>
      <c r="Q62"/>
    </row>
    <row r="63" spans="1:17" s="144" customFormat="1" ht="12.75">
      <c r="A63" s="29"/>
      <c r="B63" s="264">
        <f>'Excerpt WDH'!B45</f>
        <v>5</v>
      </c>
      <c r="C63" s="314">
        <f t="shared" si="8"/>
        <v>223200</v>
      </c>
      <c r="D63" s="315">
        <f t="shared" si="8"/>
        <v>81594</v>
      </c>
      <c r="E63" s="315">
        <f t="shared" si="8"/>
        <v>3074</v>
      </c>
      <c r="F63" s="315">
        <f t="shared" si="8"/>
        <v>0</v>
      </c>
      <c r="G63" s="315">
        <f t="shared" si="8"/>
        <v>0</v>
      </c>
      <c r="H63" s="315">
        <f t="shared" si="8"/>
        <v>0</v>
      </c>
      <c r="I63" s="315">
        <f t="shared" si="8"/>
        <v>0</v>
      </c>
      <c r="J63" s="315">
        <f t="shared" si="8"/>
        <v>0</v>
      </c>
      <c r="K63" s="315">
        <f t="shared" si="8"/>
        <v>0</v>
      </c>
      <c r="L63" s="315">
        <f t="shared" si="8"/>
        <v>0</v>
      </c>
      <c r="M63" s="315">
        <f t="shared" si="8"/>
        <v>0</v>
      </c>
      <c r="N63" s="316">
        <f t="shared" si="8"/>
        <v>0</v>
      </c>
      <c r="O63"/>
      <c r="P63"/>
      <c r="Q63"/>
    </row>
    <row r="64" spans="1:17" s="144" customFormat="1" ht="12.75">
      <c r="A64" s="29"/>
      <c r="B64" s="264">
        <f>'Excerpt WDH'!B46</f>
        <v>4</v>
      </c>
      <c r="C64" s="314">
        <f t="shared" si="8"/>
        <v>51312</v>
      </c>
      <c r="D64" s="315">
        <f t="shared" si="8"/>
        <v>15480</v>
      </c>
      <c r="E64" s="315">
        <f t="shared" si="8"/>
        <v>352</v>
      </c>
      <c r="F64" s="315">
        <f t="shared" si="8"/>
        <v>0</v>
      </c>
      <c r="G64" s="315">
        <f t="shared" si="8"/>
        <v>0</v>
      </c>
      <c r="H64" s="315">
        <f t="shared" si="8"/>
        <v>0</v>
      </c>
      <c r="I64" s="315">
        <f t="shared" si="8"/>
        <v>0</v>
      </c>
      <c r="J64" s="315">
        <f t="shared" si="8"/>
        <v>0</v>
      </c>
      <c r="K64" s="315">
        <f t="shared" si="8"/>
        <v>0</v>
      </c>
      <c r="L64" s="315">
        <f t="shared" si="8"/>
        <v>0</v>
      </c>
      <c r="M64" s="315">
        <f t="shared" si="8"/>
        <v>0</v>
      </c>
      <c r="N64" s="316">
        <f t="shared" si="8"/>
        <v>0</v>
      </c>
      <c r="O64"/>
      <c r="P64"/>
      <c r="Q64"/>
    </row>
    <row r="65" spans="1:17" s="144" customFormat="1" ht="12.75">
      <c r="A65" s="29"/>
      <c r="B65" s="264">
        <f>'Excerpt WDH'!B47</f>
        <v>3</v>
      </c>
      <c r="C65" s="314">
        <f t="shared" si="8"/>
        <v>32280</v>
      </c>
      <c r="D65" s="315">
        <f t="shared" si="8"/>
        <v>4647</v>
      </c>
      <c r="E65" s="315">
        <f t="shared" si="8"/>
        <v>57</v>
      </c>
      <c r="F65" s="315">
        <f t="shared" si="8"/>
        <v>0</v>
      </c>
      <c r="G65" s="315">
        <f t="shared" si="8"/>
        <v>0</v>
      </c>
      <c r="H65" s="315">
        <f t="shared" si="8"/>
        <v>0</v>
      </c>
      <c r="I65" s="315">
        <f t="shared" si="8"/>
        <v>0</v>
      </c>
      <c r="J65" s="315">
        <f t="shared" si="8"/>
        <v>0</v>
      </c>
      <c r="K65" s="315">
        <f t="shared" si="8"/>
        <v>0</v>
      </c>
      <c r="L65" s="315">
        <f t="shared" si="8"/>
        <v>0</v>
      </c>
      <c r="M65" s="315">
        <f t="shared" si="8"/>
        <v>0</v>
      </c>
      <c r="N65" s="316">
        <f t="shared" si="8"/>
        <v>0</v>
      </c>
      <c r="O65"/>
      <c r="P65"/>
      <c r="Q65"/>
    </row>
    <row r="66" spans="1:17" s="144" customFormat="1" ht="12.75">
      <c r="A66" s="29"/>
      <c r="B66" s="264">
        <f>'Excerpt WDH'!B48</f>
        <v>2</v>
      </c>
      <c r="C66" s="314">
        <f t="shared" si="8"/>
        <v>19404</v>
      </c>
      <c r="D66" s="315">
        <f t="shared" si="8"/>
        <v>3092</v>
      </c>
      <c r="E66" s="315">
        <f t="shared" si="8"/>
        <v>55</v>
      </c>
      <c r="F66" s="315">
        <f t="shared" si="8"/>
        <v>0</v>
      </c>
      <c r="G66" s="315">
        <f t="shared" si="8"/>
        <v>0</v>
      </c>
      <c r="H66" s="315">
        <f t="shared" si="8"/>
        <v>0</v>
      </c>
      <c r="I66" s="315">
        <f t="shared" si="8"/>
        <v>0</v>
      </c>
      <c r="J66" s="315">
        <f t="shared" si="8"/>
        <v>0</v>
      </c>
      <c r="K66" s="315">
        <f t="shared" si="8"/>
        <v>0</v>
      </c>
      <c r="L66" s="315">
        <f t="shared" si="8"/>
        <v>0</v>
      </c>
      <c r="M66" s="315">
        <f t="shared" si="8"/>
        <v>0</v>
      </c>
      <c r="N66" s="316">
        <f t="shared" si="8"/>
        <v>0</v>
      </c>
      <c r="O66"/>
      <c r="P66"/>
      <c r="Q66"/>
    </row>
    <row r="67" spans="1:17" s="144" customFormat="1" ht="12.75">
      <c r="A67" s="29"/>
      <c r="B67" s="264">
        <f>'Excerpt WDH'!B49</f>
        <v>1</v>
      </c>
      <c r="C67" s="314">
        <f t="shared" si="8"/>
        <v>3241</v>
      </c>
      <c r="D67" s="315">
        <f t="shared" si="8"/>
        <v>3100</v>
      </c>
      <c r="E67" s="315">
        <f t="shared" si="8"/>
        <v>0</v>
      </c>
      <c r="F67" s="315">
        <f t="shared" si="8"/>
        <v>0</v>
      </c>
      <c r="G67" s="315">
        <f t="shared" si="8"/>
        <v>0</v>
      </c>
      <c r="H67" s="315">
        <f t="shared" si="8"/>
        <v>0</v>
      </c>
      <c r="I67" s="315">
        <f t="shared" si="8"/>
        <v>0</v>
      </c>
      <c r="J67" s="315">
        <f t="shared" si="8"/>
        <v>0</v>
      </c>
      <c r="K67" s="315">
        <f t="shared" si="8"/>
        <v>0</v>
      </c>
      <c r="L67" s="315">
        <f t="shared" si="8"/>
        <v>0</v>
      </c>
      <c r="M67" s="315">
        <f t="shared" si="8"/>
        <v>0</v>
      </c>
      <c r="N67" s="316">
        <f t="shared" si="8"/>
        <v>0</v>
      </c>
      <c r="O67"/>
      <c r="P67"/>
      <c r="Q67"/>
    </row>
    <row r="68" spans="1:17" s="144" customFormat="1" ht="13.5" thickBot="1">
      <c r="A68" s="29"/>
      <c r="B68" s="264">
        <f>'Excerpt WDH'!B50</f>
        <v>0</v>
      </c>
      <c r="C68" s="317">
        <f t="shared" si="8"/>
        <v>19458</v>
      </c>
      <c r="D68" s="318">
        <f t="shared" si="8"/>
        <v>3088</v>
      </c>
      <c r="E68" s="318">
        <f t="shared" si="8"/>
        <v>0</v>
      </c>
      <c r="F68" s="318">
        <f t="shared" si="8"/>
        <v>0</v>
      </c>
      <c r="G68" s="318">
        <f t="shared" si="8"/>
        <v>0</v>
      </c>
      <c r="H68" s="318">
        <f t="shared" si="8"/>
        <v>0</v>
      </c>
      <c r="I68" s="318">
        <f t="shared" si="8"/>
        <v>0</v>
      </c>
      <c r="J68" s="318">
        <f t="shared" si="8"/>
        <v>0</v>
      </c>
      <c r="K68" s="318">
        <f t="shared" si="8"/>
        <v>0</v>
      </c>
      <c r="L68" s="318">
        <f t="shared" si="8"/>
        <v>0</v>
      </c>
      <c r="M68" s="318">
        <f t="shared" si="8"/>
        <v>0</v>
      </c>
      <c r="N68" s="319">
        <f t="shared" si="8"/>
        <v>0</v>
      </c>
      <c r="O68"/>
      <c r="P68"/>
      <c r="Q68"/>
    </row>
    <row r="69" spans="1:13" s="144" customFormat="1" ht="12.75">
      <c r="A69" s="29"/>
      <c r="B69"/>
      <c r="C69"/>
      <c r="D69"/>
      <c r="E69" s="122"/>
      <c r="F69"/>
      <c r="G69"/>
      <c r="H69" s="126" t="s">
        <v>125</v>
      </c>
      <c r="I69" s="364">
        <f>SUM(C57:N68)</f>
        <v>5159916</v>
      </c>
      <c r="J69" s="364"/>
      <c r="K69" s="364"/>
      <c r="L69"/>
      <c r="M69"/>
    </row>
    <row r="70" spans="1:17" s="144" customFormat="1" ht="13.5" thickBot="1">
      <c r="A70" s="74" t="s">
        <v>124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144" customFormat="1" ht="13.5" thickBot="1">
      <c r="A71" s="29"/>
      <c r="B71" s="30"/>
      <c r="C71" s="31">
        <v>1</v>
      </c>
      <c r="D71" s="32">
        <f aca="true" t="shared" si="9" ref="D71:N71">C71+1</f>
        <v>2</v>
      </c>
      <c r="E71" s="32">
        <f t="shared" si="9"/>
        <v>3</v>
      </c>
      <c r="F71" s="32">
        <f t="shared" si="9"/>
        <v>4</v>
      </c>
      <c r="G71" s="32">
        <f t="shared" si="9"/>
        <v>5</v>
      </c>
      <c r="H71" s="32">
        <f t="shared" si="9"/>
        <v>6</v>
      </c>
      <c r="I71" s="32">
        <f t="shared" si="9"/>
        <v>7</v>
      </c>
      <c r="J71" s="32">
        <f t="shared" si="9"/>
        <v>8</v>
      </c>
      <c r="K71" s="32">
        <f t="shared" si="9"/>
        <v>9</v>
      </c>
      <c r="L71" s="32">
        <f t="shared" si="9"/>
        <v>10</v>
      </c>
      <c r="M71" s="32">
        <f t="shared" si="9"/>
        <v>11</v>
      </c>
      <c r="N71" s="33">
        <f t="shared" si="9"/>
        <v>12</v>
      </c>
      <c r="O71"/>
      <c r="P71"/>
      <c r="Q71"/>
    </row>
    <row r="72" spans="1:17" s="144" customFormat="1" ht="12.75">
      <c r="A72" s="29"/>
      <c r="B72" s="264">
        <f>'Excerpt WDH'!B39</f>
      </c>
      <c r="C72" s="311">
        <f aca="true" t="shared" si="10" ref="C72:N83">C9*C42</f>
        <v>0</v>
      </c>
      <c r="D72" s="312">
        <f t="shared" si="10"/>
        <v>0</v>
      </c>
      <c r="E72" s="312">
        <f t="shared" si="10"/>
        <v>0</v>
      </c>
      <c r="F72" s="312">
        <f t="shared" si="10"/>
        <v>0</v>
      </c>
      <c r="G72" s="312">
        <f t="shared" si="10"/>
        <v>0</v>
      </c>
      <c r="H72" s="312">
        <f t="shared" si="10"/>
        <v>0</v>
      </c>
      <c r="I72" s="312">
        <f t="shared" si="10"/>
        <v>0</v>
      </c>
      <c r="J72" s="312">
        <f t="shared" si="10"/>
        <v>0</v>
      </c>
      <c r="K72" s="312">
        <f t="shared" si="10"/>
        <v>0</v>
      </c>
      <c r="L72" s="312">
        <f t="shared" si="10"/>
        <v>0</v>
      </c>
      <c r="M72" s="312">
        <f t="shared" si="10"/>
        <v>0</v>
      </c>
      <c r="N72" s="313">
        <f t="shared" si="10"/>
        <v>0</v>
      </c>
      <c r="O72"/>
      <c r="P72"/>
      <c r="Q72"/>
    </row>
    <row r="73" spans="1:17" s="144" customFormat="1" ht="12.75">
      <c r="A73" s="29"/>
      <c r="B73" s="264">
        <f>'Excerpt WDH'!B40</f>
        <v>10</v>
      </c>
      <c r="C73" s="314">
        <f t="shared" si="10"/>
        <v>756651</v>
      </c>
      <c r="D73" s="315">
        <f t="shared" si="10"/>
        <v>292657</v>
      </c>
      <c r="E73" s="315">
        <f t="shared" si="10"/>
        <v>0</v>
      </c>
      <c r="F73" s="315">
        <f t="shared" si="10"/>
        <v>0</v>
      </c>
      <c r="G73" s="315">
        <f t="shared" si="10"/>
        <v>0</v>
      </c>
      <c r="H73" s="315">
        <f t="shared" si="10"/>
        <v>0</v>
      </c>
      <c r="I73" s="315">
        <f t="shared" si="10"/>
        <v>0</v>
      </c>
      <c r="J73" s="315">
        <f t="shared" si="10"/>
        <v>0</v>
      </c>
      <c r="K73" s="315">
        <f t="shared" si="10"/>
        <v>0</v>
      </c>
      <c r="L73" s="315">
        <f t="shared" si="10"/>
        <v>0</v>
      </c>
      <c r="M73" s="315">
        <f t="shared" si="10"/>
        <v>0</v>
      </c>
      <c r="N73" s="316">
        <f t="shared" si="10"/>
        <v>0</v>
      </c>
      <c r="O73"/>
      <c r="P73"/>
      <c r="Q73"/>
    </row>
    <row r="74" spans="1:17" s="144" customFormat="1" ht="12.75">
      <c r="A74" s="29"/>
      <c r="B74" s="264">
        <f>'Excerpt WDH'!B41</f>
        <v>9</v>
      </c>
      <c r="C74" s="314">
        <f t="shared" si="10"/>
        <v>735852</v>
      </c>
      <c r="D74" s="315">
        <f t="shared" si="10"/>
        <v>589225</v>
      </c>
      <c r="E74" s="315">
        <f t="shared" si="10"/>
        <v>168270</v>
      </c>
      <c r="F74" s="315">
        <f t="shared" si="10"/>
        <v>0</v>
      </c>
      <c r="G74" s="315">
        <f t="shared" si="10"/>
        <v>0</v>
      </c>
      <c r="H74" s="315">
        <f t="shared" si="10"/>
        <v>0</v>
      </c>
      <c r="I74" s="315">
        <f t="shared" si="10"/>
        <v>0</v>
      </c>
      <c r="J74" s="315">
        <f t="shared" si="10"/>
        <v>0</v>
      </c>
      <c r="K74" s="315">
        <f t="shared" si="10"/>
        <v>0</v>
      </c>
      <c r="L74" s="315">
        <f t="shared" si="10"/>
        <v>0</v>
      </c>
      <c r="M74" s="315">
        <f t="shared" si="10"/>
        <v>0</v>
      </c>
      <c r="N74" s="316">
        <f t="shared" si="10"/>
        <v>0</v>
      </c>
      <c r="O74"/>
      <c r="P74"/>
      <c r="Q74"/>
    </row>
    <row r="75" spans="1:17" s="144" customFormat="1" ht="12.75">
      <c r="A75" s="29"/>
      <c r="B75" s="264">
        <f>'Excerpt WDH'!B42</f>
        <v>8</v>
      </c>
      <c r="C75" s="314">
        <f t="shared" si="10"/>
        <v>386096</v>
      </c>
      <c r="D75" s="315">
        <f t="shared" si="10"/>
        <v>656208</v>
      </c>
      <c r="E75" s="315">
        <f t="shared" si="10"/>
        <v>687475</v>
      </c>
      <c r="F75" s="315">
        <f t="shared" si="10"/>
        <v>0</v>
      </c>
      <c r="G75" s="315">
        <f t="shared" si="10"/>
        <v>0</v>
      </c>
      <c r="H75" s="315">
        <f t="shared" si="10"/>
        <v>0</v>
      </c>
      <c r="I75" s="315">
        <f t="shared" si="10"/>
        <v>0</v>
      </c>
      <c r="J75" s="315">
        <f t="shared" si="10"/>
        <v>0</v>
      </c>
      <c r="K75" s="315">
        <f t="shared" si="10"/>
        <v>0</v>
      </c>
      <c r="L75" s="315">
        <f t="shared" si="10"/>
        <v>0</v>
      </c>
      <c r="M75" s="315">
        <f t="shared" si="10"/>
        <v>0</v>
      </c>
      <c r="N75" s="316">
        <f t="shared" si="10"/>
        <v>0</v>
      </c>
      <c r="O75"/>
      <c r="P75"/>
      <c r="Q75"/>
    </row>
    <row r="76" spans="1:17" s="144" customFormat="1" ht="12.75">
      <c r="A76" s="29"/>
      <c r="B76" s="264">
        <f>'Excerpt WDH'!B43</f>
        <v>7</v>
      </c>
      <c r="C76" s="314">
        <f t="shared" si="10"/>
        <v>69740</v>
      </c>
      <c r="D76" s="315">
        <f t="shared" si="10"/>
        <v>372963</v>
      </c>
      <c r="E76" s="315">
        <f t="shared" si="10"/>
        <v>725676</v>
      </c>
      <c r="F76" s="315">
        <f t="shared" si="10"/>
        <v>0</v>
      </c>
      <c r="G76" s="315">
        <f t="shared" si="10"/>
        <v>0</v>
      </c>
      <c r="H76" s="315">
        <f t="shared" si="10"/>
        <v>0</v>
      </c>
      <c r="I76" s="315">
        <f t="shared" si="10"/>
        <v>0</v>
      </c>
      <c r="J76" s="315">
        <f t="shared" si="10"/>
        <v>0</v>
      </c>
      <c r="K76" s="315">
        <f t="shared" si="10"/>
        <v>0</v>
      </c>
      <c r="L76" s="315">
        <f t="shared" si="10"/>
        <v>0</v>
      </c>
      <c r="M76" s="315">
        <f t="shared" si="10"/>
        <v>0</v>
      </c>
      <c r="N76" s="316">
        <f t="shared" si="10"/>
        <v>0</v>
      </c>
      <c r="O76"/>
      <c r="P76"/>
      <c r="Q76"/>
    </row>
    <row r="77" spans="1:17" s="144" customFormat="1" ht="12.75">
      <c r="A77" s="29"/>
      <c r="B77" s="264">
        <f>'Excerpt WDH'!B44</f>
        <v>6</v>
      </c>
      <c r="C77" s="314">
        <f t="shared" si="10"/>
        <v>10731</v>
      </c>
      <c r="D77" s="315">
        <f t="shared" si="10"/>
        <v>85930</v>
      </c>
      <c r="E77" s="315">
        <f t="shared" si="10"/>
        <v>295155</v>
      </c>
      <c r="F77" s="315">
        <f t="shared" si="10"/>
        <v>0</v>
      </c>
      <c r="G77" s="315">
        <f t="shared" si="10"/>
        <v>0</v>
      </c>
      <c r="H77" s="315">
        <f t="shared" si="10"/>
        <v>0</v>
      </c>
      <c r="I77" s="315">
        <f t="shared" si="10"/>
        <v>0</v>
      </c>
      <c r="J77" s="315">
        <f t="shared" si="10"/>
        <v>0</v>
      </c>
      <c r="K77" s="315">
        <f t="shared" si="10"/>
        <v>0</v>
      </c>
      <c r="L77" s="315">
        <f t="shared" si="10"/>
        <v>0</v>
      </c>
      <c r="M77" s="315">
        <f t="shared" si="10"/>
        <v>0</v>
      </c>
      <c r="N77" s="316">
        <f t="shared" si="10"/>
        <v>0</v>
      </c>
      <c r="O77"/>
      <c r="P77"/>
      <c r="Q77"/>
    </row>
    <row r="78" spans="1:17" s="144" customFormat="1" ht="12.75">
      <c r="A78" s="29"/>
      <c r="B78" s="264">
        <f>'Excerpt WDH'!B45</f>
        <v>5</v>
      </c>
      <c r="C78" s="314">
        <f t="shared" si="10"/>
        <v>2880</v>
      </c>
      <c r="D78" s="315">
        <f t="shared" si="10"/>
        <v>72468</v>
      </c>
      <c r="E78" s="315">
        <f t="shared" si="10"/>
        <v>156297</v>
      </c>
      <c r="F78" s="315">
        <f t="shared" si="10"/>
        <v>0</v>
      </c>
      <c r="G78" s="315">
        <f t="shared" si="10"/>
        <v>0</v>
      </c>
      <c r="H78" s="315">
        <f t="shared" si="10"/>
        <v>0</v>
      </c>
      <c r="I78" s="315">
        <f t="shared" si="10"/>
        <v>0</v>
      </c>
      <c r="J78" s="315">
        <f t="shared" si="10"/>
        <v>0</v>
      </c>
      <c r="K78" s="315">
        <f t="shared" si="10"/>
        <v>0</v>
      </c>
      <c r="L78" s="315">
        <f t="shared" si="10"/>
        <v>0</v>
      </c>
      <c r="M78" s="315">
        <f t="shared" si="10"/>
        <v>0</v>
      </c>
      <c r="N78" s="316">
        <f t="shared" si="10"/>
        <v>0</v>
      </c>
      <c r="O78"/>
      <c r="P78"/>
      <c r="Q78"/>
    </row>
    <row r="79" spans="1:17" s="144" customFormat="1" ht="12.75">
      <c r="A79" s="29"/>
      <c r="B79" s="264">
        <f>'Excerpt WDH'!B46</f>
        <v>4</v>
      </c>
      <c r="C79" s="314">
        <f t="shared" si="10"/>
        <v>304</v>
      </c>
      <c r="D79" s="315">
        <f t="shared" si="10"/>
        <v>14030</v>
      </c>
      <c r="E79" s="315">
        <f t="shared" si="10"/>
        <v>33825</v>
      </c>
      <c r="F79" s="315">
        <f t="shared" si="10"/>
        <v>0</v>
      </c>
      <c r="G79" s="315">
        <f t="shared" si="10"/>
        <v>0</v>
      </c>
      <c r="H79" s="315">
        <f t="shared" si="10"/>
        <v>0</v>
      </c>
      <c r="I79" s="315">
        <f t="shared" si="10"/>
        <v>0</v>
      </c>
      <c r="J79" s="315">
        <f t="shared" si="10"/>
        <v>0</v>
      </c>
      <c r="K79" s="315">
        <f t="shared" si="10"/>
        <v>0</v>
      </c>
      <c r="L79" s="315">
        <f t="shared" si="10"/>
        <v>0</v>
      </c>
      <c r="M79" s="315">
        <f t="shared" si="10"/>
        <v>0</v>
      </c>
      <c r="N79" s="316">
        <f t="shared" si="10"/>
        <v>0</v>
      </c>
      <c r="O79"/>
      <c r="P79"/>
      <c r="Q79"/>
    </row>
    <row r="80" spans="1:17" s="144" customFormat="1" ht="12.75">
      <c r="A80" s="29"/>
      <c r="B80" s="264">
        <f>'Excerpt WDH'!B47</f>
        <v>3</v>
      </c>
      <c r="C80" s="314">
        <f t="shared" si="10"/>
        <v>130</v>
      </c>
      <c r="D80" s="315">
        <f t="shared" si="10"/>
        <v>4248</v>
      </c>
      <c r="E80" s="315">
        <f t="shared" si="10"/>
        <v>9303</v>
      </c>
      <c r="F80" s="315">
        <f t="shared" si="10"/>
        <v>0</v>
      </c>
      <c r="G80" s="315">
        <f t="shared" si="10"/>
        <v>0</v>
      </c>
      <c r="H80" s="315">
        <f t="shared" si="10"/>
        <v>0</v>
      </c>
      <c r="I80" s="315">
        <f t="shared" si="10"/>
        <v>0</v>
      </c>
      <c r="J80" s="315">
        <f t="shared" si="10"/>
        <v>0</v>
      </c>
      <c r="K80" s="315">
        <f t="shared" si="10"/>
        <v>0</v>
      </c>
      <c r="L80" s="315">
        <f t="shared" si="10"/>
        <v>0</v>
      </c>
      <c r="M80" s="315">
        <f t="shared" si="10"/>
        <v>0</v>
      </c>
      <c r="N80" s="316">
        <f t="shared" si="10"/>
        <v>0</v>
      </c>
      <c r="O80"/>
      <c r="P80"/>
      <c r="Q80"/>
    </row>
    <row r="81" spans="1:17" s="144" customFormat="1" ht="12.75">
      <c r="A81" s="29"/>
      <c r="B81" s="264">
        <f>'Excerpt WDH'!B48</f>
        <v>2</v>
      </c>
      <c r="C81" s="314">
        <f t="shared" si="10"/>
        <v>36</v>
      </c>
      <c r="D81" s="315">
        <f t="shared" si="10"/>
        <v>2842</v>
      </c>
      <c r="E81" s="315">
        <f t="shared" si="10"/>
        <v>15570</v>
      </c>
      <c r="F81" s="315">
        <f t="shared" si="10"/>
        <v>0</v>
      </c>
      <c r="G81" s="315">
        <f t="shared" si="10"/>
        <v>0</v>
      </c>
      <c r="H81" s="315">
        <f t="shared" si="10"/>
        <v>0</v>
      </c>
      <c r="I81" s="315">
        <f t="shared" si="10"/>
        <v>0</v>
      </c>
      <c r="J81" s="315">
        <f t="shared" si="10"/>
        <v>0</v>
      </c>
      <c r="K81" s="315">
        <f t="shared" si="10"/>
        <v>0</v>
      </c>
      <c r="L81" s="315">
        <f t="shared" si="10"/>
        <v>0</v>
      </c>
      <c r="M81" s="315">
        <f t="shared" si="10"/>
        <v>0</v>
      </c>
      <c r="N81" s="316">
        <f t="shared" si="10"/>
        <v>0</v>
      </c>
      <c r="O81"/>
      <c r="P81"/>
      <c r="Q81"/>
    </row>
    <row r="82" spans="1:17" s="144" customFormat="1" ht="12.75">
      <c r="A82" s="29"/>
      <c r="B82" s="264">
        <f>'Excerpt WDH'!B49</f>
        <v>1</v>
      </c>
      <c r="C82" s="314">
        <f t="shared" si="10"/>
        <v>4</v>
      </c>
      <c r="D82" s="315">
        <f t="shared" si="10"/>
        <v>2854</v>
      </c>
      <c r="E82" s="315">
        <f t="shared" si="10"/>
        <v>0</v>
      </c>
      <c r="F82" s="315">
        <f t="shared" si="10"/>
        <v>0</v>
      </c>
      <c r="G82" s="315">
        <f t="shared" si="10"/>
        <v>0</v>
      </c>
      <c r="H82" s="315">
        <f t="shared" si="10"/>
        <v>0</v>
      </c>
      <c r="I82" s="315">
        <f t="shared" si="10"/>
        <v>0</v>
      </c>
      <c r="J82" s="315">
        <f t="shared" si="10"/>
        <v>0</v>
      </c>
      <c r="K82" s="315">
        <f t="shared" si="10"/>
        <v>0</v>
      </c>
      <c r="L82" s="315">
        <f t="shared" si="10"/>
        <v>0</v>
      </c>
      <c r="M82" s="315">
        <f t="shared" si="10"/>
        <v>0</v>
      </c>
      <c r="N82" s="316">
        <f t="shared" si="10"/>
        <v>0</v>
      </c>
      <c r="O82"/>
      <c r="P82"/>
      <c r="Q82"/>
    </row>
    <row r="83" spans="1:17" s="144" customFormat="1" ht="13.5" thickBot="1">
      <c r="A83" s="29"/>
      <c r="B83" s="264">
        <f>'Excerpt WDH'!B50</f>
        <v>0</v>
      </c>
      <c r="C83" s="317">
        <f t="shared" si="10"/>
        <v>0</v>
      </c>
      <c r="D83" s="318">
        <f t="shared" si="10"/>
        <v>2852</v>
      </c>
      <c r="E83" s="318">
        <f t="shared" si="10"/>
        <v>6250</v>
      </c>
      <c r="F83" s="318">
        <f t="shared" si="10"/>
        <v>0</v>
      </c>
      <c r="G83" s="318">
        <f t="shared" si="10"/>
        <v>0</v>
      </c>
      <c r="H83" s="318">
        <f t="shared" si="10"/>
        <v>0</v>
      </c>
      <c r="I83" s="318">
        <f t="shared" si="10"/>
        <v>0</v>
      </c>
      <c r="J83" s="318">
        <f t="shared" si="10"/>
        <v>0</v>
      </c>
      <c r="K83" s="318">
        <f t="shared" si="10"/>
        <v>0</v>
      </c>
      <c r="L83" s="318">
        <f t="shared" si="10"/>
        <v>0</v>
      </c>
      <c r="M83" s="318">
        <f t="shared" si="10"/>
        <v>0</v>
      </c>
      <c r="N83" s="319">
        <f t="shared" si="10"/>
        <v>0</v>
      </c>
      <c r="O83"/>
      <c r="P83"/>
      <c r="Q83"/>
    </row>
    <row r="84" spans="1:14" s="144" customFormat="1" ht="12.75">
      <c r="A84" s="79"/>
      <c r="B84" s="157"/>
      <c r="C84" s="160"/>
      <c r="D84" s="160"/>
      <c r="E84" s="160"/>
      <c r="F84" s="160"/>
      <c r="G84"/>
      <c r="H84" s="126" t="s">
        <v>125</v>
      </c>
      <c r="I84" s="364">
        <f>SUM(C72:N83)</f>
        <v>6156522</v>
      </c>
      <c r="J84" s="368"/>
      <c r="K84" s="368"/>
      <c r="L84" s="160"/>
      <c r="M84" s="160"/>
      <c r="N84" s="160"/>
    </row>
    <row r="85" spans="1:5" ht="12.75">
      <c r="A85" s="29"/>
      <c r="E85" s="122"/>
    </row>
    <row r="86" ht="13.5" thickBot="1">
      <c r="A86" s="124" t="s">
        <v>88</v>
      </c>
    </row>
    <row r="87" spans="1:14" ht="13.5" thickBot="1">
      <c r="A87" s="29"/>
      <c r="B87" s="30"/>
      <c r="C87" s="31">
        <v>1</v>
      </c>
      <c r="D87" s="32">
        <f aca="true" t="shared" si="11" ref="D87:N87">C87+1</f>
        <v>2</v>
      </c>
      <c r="E87" s="32">
        <f t="shared" si="11"/>
        <v>3</v>
      </c>
      <c r="F87" s="32">
        <f t="shared" si="11"/>
        <v>4</v>
      </c>
      <c r="G87" s="32">
        <f t="shared" si="11"/>
        <v>5</v>
      </c>
      <c r="H87" s="32">
        <f t="shared" si="11"/>
        <v>6</v>
      </c>
      <c r="I87" s="32">
        <f t="shared" si="11"/>
        <v>7</v>
      </c>
      <c r="J87" s="32">
        <f t="shared" si="11"/>
        <v>8</v>
      </c>
      <c r="K87" s="32">
        <f t="shared" si="11"/>
        <v>9</v>
      </c>
      <c r="L87" s="32">
        <f t="shared" si="11"/>
        <v>10</v>
      </c>
      <c r="M87" s="32">
        <f t="shared" si="11"/>
        <v>11</v>
      </c>
      <c r="N87" s="33">
        <f t="shared" si="11"/>
        <v>12</v>
      </c>
    </row>
    <row r="88" spans="1:14" ht="12.75">
      <c r="A88" s="29"/>
      <c r="B88" s="264">
        <f>'Excerpt WDH'!B39</f>
      </c>
      <c r="C88" s="305">
        <f aca="true" t="shared" si="12" ref="C88:N99">C9*(C27-C42)*(C27-C42)</f>
        <v>0</v>
      </c>
      <c r="D88" s="306">
        <f t="shared" si="12"/>
        <v>0</v>
      </c>
      <c r="E88" s="306">
        <f t="shared" si="12"/>
        <v>0</v>
      </c>
      <c r="F88" s="306">
        <f t="shared" si="12"/>
        <v>0</v>
      </c>
      <c r="G88" s="306">
        <f t="shared" si="12"/>
        <v>0</v>
      </c>
      <c r="H88" s="306">
        <f t="shared" si="12"/>
        <v>0</v>
      </c>
      <c r="I88" s="306">
        <f t="shared" si="12"/>
        <v>0</v>
      </c>
      <c r="J88" s="306">
        <f t="shared" si="12"/>
        <v>0</v>
      </c>
      <c r="K88" s="306">
        <f t="shared" si="12"/>
        <v>0</v>
      </c>
      <c r="L88" s="306">
        <f t="shared" si="12"/>
        <v>0</v>
      </c>
      <c r="M88" s="306">
        <f t="shared" si="12"/>
        <v>0</v>
      </c>
      <c r="N88" s="320">
        <f t="shared" si="12"/>
        <v>0</v>
      </c>
    </row>
    <row r="89" spans="1:14" ht="12.75">
      <c r="A89" s="29"/>
      <c r="B89" s="264">
        <f>'Excerpt WDH'!B40</f>
        <v>10</v>
      </c>
      <c r="C89" s="307">
        <f t="shared" si="12"/>
        <v>2176884927</v>
      </c>
      <c r="D89" s="308">
        <f t="shared" si="12"/>
        <v>10027564</v>
      </c>
      <c r="E89" s="308">
        <f t="shared" si="12"/>
        <v>1124174679</v>
      </c>
      <c r="F89" s="308">
        <f t="shared" si="12"/>
        <v>0</v>
      </c>
      <c r="G89" s="308">
        <f t="shared" si="12"/>
        <v>0</v>
      </c>
      <c r="H89" s="308">
        <f t="shared" si="12"/>
        <v>0</v>
      </c>
      <c r="I89" s="308">
        <f t="shared" si="12"/>
        <v>0</v>
      </c>
      <c r="J89" s="308">
        <f t="shared" si="12"/>
        <v>0</v>
      </c>
      <c r="K89" s="308">
        <f t="shared" si="12"/>
        <v>0</v>
      </c>
      <c r="L89" s="308">
        <f t="shared" si="12"/>
        <v>0</v>
      </c>
      <c r="M89" s="308">
        <f t="shared" si="12"/>
        <v>0</v>
      </c>
      <c r="N89" s="321">
        <f t="shared" si="12"/>
        <v>0</v>
      </c>
    </row>
    <row r="90" spans="1:14" ht="12.75">
      <c r="A90" s="29"/>
      <c r="B90" s="264">
        <f>'Excerpt WDH'!B41</f>
        <v>9</v>
      </c>
      <c r="C90" s="307">
        <f t="shared" si="12"/>
        <v>1025212004</v>
      </c>
      <c r="D90" s="308">
        <f t="shared" si="12"/>
        <v>47469695</v>
      </c>
      <c r="E90" s="308">
        <f t="shared" si="12"/>
        <v>670195980</v>
      </c>
      <c r="F90" s="308">
        <f t="shared" si="12"/>
        <v>0</v>
      </c>
      <c r="G90" s="308">
        <f t="shared" si="12"/>
        <v>0</v>
      </c>
      <c r="H90" s="308">
        <f t="shared" si="12"/>
        <v>0</v>
      </c>
      <c r="I90" s="308">
        <f t="shared" si="12"/>
        <v>0</v>
      </c>
      <c r="J90" s="308">
        <f t="shared" si="12"/>
        <v>0</v>
      </c>
      <c r="K90" s="308">
        <f t="shared" si="12"/>
        <v>0</v>
      </c>
      <c r="L90" s="308">
        <f t="shared" si="12"/>
        <v>0</v>
      </c>
      <c r="M90" s="308">
        <f t="shared" si="12"/>
        <v>0</v>
      </c>
      <c r="N90" s="321">
        <f t="shared" si="12"/>
        <v>0</v>
      </c>
    </row>
    <row r="91" spans="1:14" ht="12.75">
      <c r="A91" s="29"/>
      <c r="B91" s="264">
        <f>'Excerpt WDH'!B42</f>
        <v>8</v>
      </c>
      <c r="C91" s="307">
        <f t="shared" si="12"/>
        <v>22779664</v>
      </c>
      <c r="D91" s="308">
        <f t="shared" si="12"/>
        <v>23051952</v>
      </c>
      <c r="E91" s="308">
        <f t="shared" si="12"/>
        <v>100770460</v>
      </c>
      <c r="F91" s="308">
        <f t="shared" si="12"/>
        <v>0</v>
      </c>
      <c r="G91" s="308">
        <f t="shared" si="12"/>
        <v>0</v>
      </c>
      <c r="H91" s="308">
        <f t="shared" si="12"/>
        <v>0</v>
      </c>
      <c r="I91" s="308">
        <f t="shared" si="12"/>
        <v>0</v>
      </c>
      <c r="J91" s="308">
        <f t="shared" si="12"/>
        <v>0</v>
      </c>
      <c r="K91" s="308">
        <f t="shared" si="12"/>
        <v>0</v>
      </c>
      <c r="L91" s="308">
        <f t="shared" si="12"/>
        <v>0</v>
      </c>
      <c r="M91" s="308">
        <f t="shared" si="12"/>
        <v>0</v>
      </c>
      <c r="N91" s="321">
        <f t="shared" si="12"/>
        <v>0</v>
      </c>
    </row>
    <row r="92" spans="1:14" ht="12.75">
      <c r="A92" s="29"/>
      <c r="B92" s="264">
        <f>'Excerpt WDH'!B43</f>
        <v>7</v>
      </c>
      <c r="C92" s="307">
        <f t="shared" si="12"/>
        <v>867723120</v>
      </c>
      <c r="D92" s="308">
        <f t="shared" si="12"/>
        <v>208884</v>
      </c>
      <c r="E92" s="308">
        <f t="shared" si="12"/>
        <v>1221628800</v>
      </c>
      <c r="F92" s="308">
        <f t="shared" si="12"/>
        <v>0</v>
      </c>
      <c r="G92" s="308">
        <f t="shared" si="12"/>
        <v>0</v>
      </c>
      <c r="H92" s="308">
        <f t="shared" si="12"/>
        <v>0</v>
      </c>
      <c r="I92" s="308">
        <f t="shared" si="12"/>
        <v>0</v>
      </c>
      <c r="J92" s="308">
        <f t="shared" si="12"/>
        <v>0</v>
      </c>
      <c r="K92" s="308">
        <f t="shared" si="12"/>
        <v>0</v>
      </c>
      <c r="L92" s="308">
        <f t="shared" si="12"/>
        <v>0</v>
      </c>
      <c r="M92" s="308">
        <f t="shared" si="12"/>
        <v>0</v>
      </c>
      <c r="N92" s="321">
        <f t="shared" si="12"/>
        <v>0</v>
      </c>
    </row>
    <row r="93" spans="1:14" ht="12.75">
      <c r="A93" s="29"/>
      <c r="B93" s="264">
        <f>'Excerpt WDH'!B44</f>
        <v>6</v>
      </c>
      <c r="C93" s="307">
        <f t="shared" si="12"/>
        <v>565391497</v>
      </c>
      <c r="D93" s="308">
        <f t="shared" si="12"/>
        <v>1581840</v>
      </c>
      <c r="E93" s="308">
        <f t="shared" si="12"/>
        <v>724618545</v>
      </c>
      <c r="F93" s="308">
        <f t="shared" si="12"/>
        <v>0</v>
      </c>
      <c r="G93" s="308">
        <f t="shared" si="12"/>
        <v>0</v>
      </c>
      <c r="H93" s="308">
        <f t="shared" si="12"/>
        <v>0</v>
      </c>
      <c r="I93" s="308">
        <f t="shared" si="12"/>
        <v>0</v>
      </c>
      <c r="J93" s="308">
        <f t="shared" si="12"/>
        <v>0</v>
      </c>
      <c r="K93" s="308">
        <f t="shared" si="12"/>
        <v>0</v>
      </c>
      <c r="L93" s="308">
        <f t="shared" si="12"/>
        <v>0</v>
      </c>
      <c r="M93" s="308">
        <f t="shared" si="12"/>
        <v>0</v>
      </c>
      <c r="N93" s="321">
        <f t="shared" si="12"/>
        <v>0</v>
      </c>
    </row>
    <row r="94" spans="1:14" ht="12.75">
      <c r="A94" s="29"/>
      <c r="B94" s="264">
        <f>'Excerpt WDH'!B45</f>
        <v>5</v>
      </c>
      <c r="C94" s="307">
        <f t="shared" si="12"/>
        <v>674179200</v>
      </c>
      <c r="D94" s="308">
        <f t="shared" si="12"/>
        <v>1542294</v>
      </c>
      <c r="E94" s="308">
        <f t="shared" si="12"/>
        <v>442967693</v>
      </c>
      <c r="F94" s="308">
        <f t="shared" si="12"/>
        <v>0</v>
      </c>
      <c r="G94" s="308">
        <f t="shared" si="12"/>
        <v>0</v>
      </c>
      <c r="H94" s="308">
        <f t="shared" si="12"/>
        <v>0</v>
      </c>
      <c r="I94" s="308">
        <f t="shared" si="12"/>
        <v>0</v>
      </c>
      <c r="J94" s="308">
        <f t="shared" si="12"/>
        <v>0</v>
      </c>
      <c r="K94" s="308">
        <f t="shared" si="12"/>
        <v>0</v>
      </c>
      <c r="L94" s="308">
        <f t="shared" si="12"/>
        <v>0</v>
      </c>
      <c r="M94" s="308">
        <f t="shared" si="12"/>
        <v>0</v>
      </c>
      <c r="N94" s="321">
        <f t="shared" si="12"/>
        <v>0</v>
      </c>
    </row>
    <row r="95" spans="1:14" ht="12.75">
      <c r="A95" s="29"/>
      <c r="B95" s="264">
        <f>'Excerpt WDH'!B46</f>
        <v>4</v>
      </c>
      <c r="C95" s="307">
        <f t="shared" si="12"/>
        <v>162613504</v>
      </c>
      <c r="D95" s="308">
        <f t="shared" si="12"/>
        <v>210250</v>
      </c>
      <c r="E95" s="308">
        <f t="shared" si="12"/>
        <v>101858339</v>
      </c>
      <c r="F95" s="308">
        <f t="shared" si="12"/>
        <v>0</v>
      </c>
      <c r="G95" s="308">
        <f t="shared" si="12"/>
        <v>0</v>
      </c>
      <c r="H95" s="308">
        <f t="shared" si="12"/>
        <v>0</v>
      </c>
      <c r="I95" s="308">
        <f t="shared" si="12"/>
        <v>0</v>
      </c>
      <c r="J95" s="308">
        <f t="shared" si="12"/>
        <v>0</v>
      </c>
      <c r="K95" s="308">
        <f t="shared" si="12"/>
        <v>0</v>
      </c>
      <c r="L95" s="308">
        <f t="shared" si="12"/>
        <v>0</v>
      </c>
      <c r="M95" s="308">
        <f t="shared" si="12"/>
        <v>0</v>
      </c>
      <c r="N95" s="321">
        <f t="shared" si="12"/>
        <v>0</v>
      </c>
    </row>
    <row r="96" spans="1:14" ht="12.75">
      <c r="A96" s="29"/>
      <c r="B96" s="264">
        <f>'Excerpt WDH'!B47</f>
        <v>3</v>
      </c>
      <c r="C96" s="307">
        <f t="shared" si="12"/>
        <v>103362250</v>
      </c>
      <c r="D96" s="308">
        <f t="shared" si="12"/>
        <v>53067</v>
      </c>
      <c r="E96" s="308">
        <f t="shared" si="12"/>
        <v>28496172</v>
      </c>
      <c r="F96" s="308">
        <f t="shared" si="12"/>
        <v>0</v>
      </c>
      <c r="G96" s="308">
        <f t="shared" si="12"/>
        <v>0</v>
      </c>
      <c r="H96" s="308">
        <f t="shared" si="12"/>
        <v>0</v>
      </c>
      <c r="I96" s="308">
        <f t="shared" si="12"/>
        <v>0</v>
      </c>
      <c r="J96" s="308">
        <f t="shared" si="12"/>
        <v>0</v>
      </c>
      <c r="K96" s="308">
        <f t="shared" si="12"/>
        <v>0</v>
      </c>
      <c r="L96" s="308">
        <f t="shared" si="12"/>
        <v>0</v>
      </c>
      <c r="M96" s="308">
        <f t="shared" si="12"/>
        <v>0</v>
      </c>
      <c r="N96" s="321">
        <f t="shared" si="12"/>
        <v>0</v>
      </c>
    </row>
    <row r="97" spans="1:14" ht="12.75">
      <c r="A97" s="29"/>
      <c r="B97" s="264">
        <f>'Excerpt WDH'!B48</f>
        <v>2</v>
      </c>
      <c r="C97" s="307">
        <f t="shared" si="12"/>
        <v>62519904</v>
      </c>
      <c r="D97" s="308">
        <f t="shared" si="12"/>
        <v>31250</v>
      </c>
      <c r="E97" s="308">
        <f t="shared" si="12"/>
        <v>48143045</v>
      </c>
      <c r="F97" s="308">
        <f t="shared" si="12"/>
        <v>0</v>
      </c>
      <c r="G97" s="308">
        <f t="shared" si="12"/>
        <v>0</v>
      </c>
      <c r="H97" s="308">
        <f t="shared" si="12"/>
        <v>0</v>
      </c>
      <c r="I97" s="308">
        <f t="shared" si="12"/>
        <v>0</v>
      </c>
      <c r="J97" s="308">
        <f t="shared" si="12"/>
        <v>0</v>
      </c>
      <c r="K97" s="308">
        <f t="shared" si="12"/>
        <v>0</v>
      </c>
      <c r="L97" s="308">
        <f t="shared" si="12"/>
        <v>0</v>
      </c>
      <c r="M97" s="308">
        <f t="shared" si="12"/>
        <v>0</v>
      </c>
      <c r="N97" s="321">
        <f t="shared" si="12"/>
        <v>0</v>
      </c>
    </row>
    <row r="98" spans="1:14" ht="12.75">
      <c r="A98" s="29"/>
      <c r="B98" s="264">
        <f>'Excerpt WDH'!B49</f>
        <v>1</v>
      </c>
      <c r="C98" s="307">
        <f t="shared" si="12"/>
        <v>10478169</v>
      </c>
      <c r="D98" s="308">
        <f t="shared" si="12"/>
        <v>30258</v>
      </c>
      <c r="E98" s="308">
        <f t="shared" si="12"/>
        <v>0</v>
      </c>
      <c r="F98" s="308">
        <f t="shared" si="12"/>
        <v>0</v>
      </c>
      <c r="G98" s="308">
        <f t="shared" si="12"/>
        <v>0</v>
      </c>
      <c r="H98" s="308">
        <f t="shared" si="12"/>
        <v>0</v>
      </c>
      <c r="I98" s="308">
        <f t="shared" si="12"/>
        <v>0</v>
      </c>
      <c r="J98" s="308">
        <f t="shared" si="12"/>
        <v>0</v>
      </c>
      <c r="K98" s="308">
        <f t="shared" si="12"/>
        <v>0</v>
      </c>
      <c r="L98" s="308">
        <f t="shared" si="12"/>
        <v>0</v>
      </c>
      <c r="M98" s="308">
        <f t="shared" si="12"/>
        <v>0</v>
      </c>
      <c r="N98" s="321">
        <f t="shared" si="12"/>
        <v>0</v>
      </c>
    </row>
    <row r="99" spans="1:14" ht="13.5" thickBot="1">
      <c r="A99" s="29"/>
      <c r="B99" s="264">
        <f>'Excerpt WDH'!B50</f>
        <v>0</v>
      </c>
      <c r="C99" s="309">
        <f t="shared" si="12"/>
        <v>63102294</v>
      </c>
      <c r="D99" s="310">
        <f t="shared" si="12"/>
        <v>27848</v>
      </c>
      <c r="E99" s="310">
        <f t="shared" si="12"/>
        <v>19531250</v>
      </c>
      <c r="F99" s="310">
        <f t="shared" si="12"/>
        <v>0</v>
      </c>
      <c r="G99" s="310">
        <f t="shared" si="12"/>
        <v>0</v>
      </c>
      <c r="H99" s="310">
        <f t="shared" si="12"/>
        <v>0</v>
      </c>
      <c r="I99" s="310">
        <f t="shared" si="12"/>
        <v>0</v>
      </c>
      <c r="J99" s="310">
        <f t="shared" si="12"/>
        <v>0</v>
      </c>
      <c r="K99" s="310">
        <f t="shared" si="12"/>
        <v>0</v>
      </c>
      <c r="L99" s="310">
        <f t="shared" si="12"/>
        <v>0</v>
      </c>
      <c r="M99" s="310">
        <f t="shared" si="12"/>
        <v>0</v>
      </c>
      <c r="N99" s="322">
        <f t="shared" si="12"/>
        <v>0</v>
      </c>
    </row>
    <row r="100" spans="1:17" ht="12.75">
      <c r="A100" s="29"/>
      <c r="B100" t="s">
        <v>85</v>
      </c>
      <c r="E100" s="369">
        <f>SUM(C88:N99)</f>
        <v>10300866398</v>
      </c>
      <c r="F100" s="370"/>
      <c r="G100" s="370"/>
      <c r="H100" s="370"/>
      <c r="P100" s="126"/>
      <c r="Q100" s="117"/>
    </row>
    <row r="101" spans="1:5" ht="12.75">
      <c r="A101" s="29"/>
      <c r="E101" s="122"/>
    </row>
    <row r="102" spans="1:7" ht="12.75">
      <c r="A102" s="29"/>
      <c r="B102" s="125" t="s">
        <v>89</v>
      </c>
      <c r="C102" t="s">
        <v>90</v>
      </c>
      <c r="E102" s="122"/>
      <c r="G102" s="133">
        <f>((2*I3)/((I3-1)*N2*N2))*(SQRT(E100-4*(Statistics!E10-Statistics!E11)*(Statistics!E10-Statistics!E11)/N2))</f>
        <v>0.013763550551853005</v>
      </c>
    </row>
    <row r="104" spans="1:3" ht="13.5" thickBot="1">
      <c r="A104" s="74" t="s">
        <v>80</v>
      </c>
      <c r="C104" t="s">
        <v>84</v>
      </c>
    </row>
    <row r="105" spans="1:14" ht="13.5" thickBot="1">
      <c r="A105" s="29"/>
      <c r="B105" s="30"/>
      <c r="C105" s="31">
        <v>1</v>
      </c>
      <c r="D105" s="32">
        <f aca="true" t="shared" si="13" ref="D105:N105">C105+1</f>
        <v>2</v>
      </c>
      <c r="E105" s="32">
        <f t="shared" si="13"/>
        <v>3</v>
      </c>
      <c r="F105" s="32">
        <f t="shared" si="13"/>
        <v>4</v>
      </c>
      <c r="G105" s="32">
        <f t="shared" si="13"/>
        <v>5</v>
      </c>
      <c r="H105" s="32">
        <f t="shared" si="13"/>
        <v>6</v>
      </c>
      <c r="I105" s="32">
        <f t="shared" si="13"/>
        <v>7</v>
      </c>
      <c r="J105" s="32">
        <f t="shared" si="13"/>
        <v>8</v>
      </c>
      <c r="K105" s="32">
        <f t="shared" si="13"/>
        <v>9</v>
      </c>
      <c r="L105" s="32">
        <f t="shared" si="13"/>
        <v>10</v>
      </c>
      <c r="M105" s="32">
        <f t="shared" si="13"/>
        <v>11</v>
      </c>
      <c r="N105" s="33">
        <f t="shared" si="13"/>
        <v>12</v>
      </c>
    </row>
    <row r="106" spans="1:14" ht="12.75">
      <c r="A106" s="29"/>
      <c r="B106" s="264">
        <f>'Excerpt WDH'!B39</f>
      </c>
      <c r="C106" s="311">
        <f aca="true" t="shared" si="14" ref="C106:N117">C9*(C$21+$O9-C9)</f>
        <v>0</v>
      </c>
      <c r="D106" s="312">
        <f t="shared" si="14"/>
        <v>0</v>
      </c>
      <c r="E106" s="312">
        <f t="shared" si="14"/>
        <v>0</v>
      </c>
      <c r="F106" s="312">
        <f t="shared" si="14"/>
        <v>0</v>
      </c>
      <c r="G106" s="312">
        <f t="shared" si="14"/>
        <v>0</v>
      </c>
      <c r="H106" s="312">
        <f t="shared" si="14"/>
        <v>0</v>
      </c>
      <c r="I106" s="312">
        <f t="shared" si="14"/>
        <v>0</v>
      </c>
      <c r="J106" s="312">
        <f t="shared" si="14"/>
        <v>0</v>
      </c>
      <c r="K106" s="312">
        <f t="shared" si="14"/>
        <v>0</v>
      </c>
      <c r="L106" s="312">
        <f t="shared" si="14"/>
        <v>0</v>
      </c>
      <c r="M106" s="312">
        <f t="shared" si="14"/>
        <v>0</v>
      </c>
      <c r="N106" s="313">
        <f t="shared" si="14"/>
        <v>0</v>
      </c>
    </row>
    <row r="107" spans="1:14" ht="12.75">
      <c r="A107" s="29"/>
      <c r="B107" s="264">
        <f>'Excerpt WDH'!B40</f>
        <v>10</v>
      </c>
      <c r="C107" s="314">
        <f t="shared" si="14"/>
        <v>473926</v>
      </c>
      <c r="D107" s="315">
        <f t="shared" si="14"/>
        <v>447953</v>
      </c>
      <c r="E107" s="315">
        <f t="shared" si="14"/>
        <v>321180</v>
      </c>
      <c r="F107" s="315">
        <f t="shared" si="14"/>
        <v>0</v>
      </c>
      <c r="G107" s="315">
        <f t="shared" si="14"/>
        <v>0</v>
      </c>
      <c r="H107" s="315">
        <f t="shared" si="14"/>
        <v>0</v>
      </c>
      <c r="I107" s="315">
        <f t="shared" si="14"/>
        <v>0</v>
      </c>
      <c r="J107" s="315">
        <f t="shared" si="14"/>
        <v>0</v>
      </c>
      <c r="K107" s="315">
        <f t="shared" si="14"/>
        <v>0</v>
      </c>
      <c r="L107" s="315">
        <f t="shared" si="14"/>
        <v>0</v>
      </c>
      <c r="M107" s="315">
        <f t="shared" si="14"/>
        <v>0</v>
      </c>
      <c r="N107" s="316">
        <f t="shared" si="14"/>
        <v>0</v>
      </c>
    </row>
    <row r="108" spans="1:14" ht="12.75">
      <c r="A108" s="29"/>
      <c r="B108" s="264">
        <f>'Excerpt WDH'!B41</f>
        <v>9</v>
      </c>
      <c r="C108" s="314">
        <f t="shared" si="14"/>
        <v>798152</v>
      </c>
      <c r="D108" s="315">
        <f t="shared" si="14"/>
        <v>1097460</v>
      </c>
      <c r="E108" s="315">
        <f t="shared" si="14"/>
        <v>836735</v>
      </c>
      <c r="F108" s="315">
        <f t="shared" si="14"/>
        <v>0</v>
      </c>
      <c r="G108" s="315">
        <f t="shared" si="14"/>
        <v>0</v>
      </c>
      <c r="H108" s="315">
        <f t="shared" si="14"/>
        <v>0</v>
      </c>
      <c r="I108" s="315">
        <f t="shared" si="14"/>
        <v>0</v>
      </c>
      <c r="J108" s="315">
        <f t="shared" si="14"/>
        <v>0</v>
      </c>
      <c r="K108" s="315">
        <f t="shared" si="14"/>
        <v>0</v>
      </c>
      <c r="L108" s="315">
        <f t="shared" si="14"/>
        <v>0</v>
      </c>
      <c r="M108" s="315">
        <f t="shared" si="14"/>
        <v>0</v>
      </c>
      <c r="N108" s="316">
        <f t="shared" si="14"/>
        <v>0</v>
      </c>
    </row>
    <row r="109" spans="1:14" ht="12.75">
      <c r="A109" s="29"/>
      <c r="B109" s="264">
        <f>'Excerpt WDH'!B42</f>
        <v>8</v>
      </c>
      <c r="C109" s="314">
        <f t="shared" si="14"/>
        <v>1044995</v>
      </c>
      <c r="D109" s="315">
        <f t="shared" si="14"/>
        <v>1555260</v>
      </c>
      <c r="E109" s="315">
        <f t="shared" si="14"/>
        <v>1360505</v>
      </c>
      <c r="F109" s="315">
        <f t="shared" si="14"/>
        <v>0</v>
      </c>
      <c r="G109" s="315">
        <f t="shared" si="14"/>
        <v>0</v>
      </c>
      <c r="H109" s="315">
        <f t="shared" si="14"/>
        <v>0</v>
      </c>
      <c r="I109" s="315">
        <f t="shared" si="14"/>
        <v>0</v>
      </c>
      <c r="J109" s="315">
        <f t="shared" si="14"/>
        <v>0</v>
      </c>
      <c r="K109" s="315">
        <f t="shared" si="14"/>
        <v>0</v>
      </c>
      <c r="L109" s="315">
        <f t="shared" si="14"/>
        <v>0</v>
      </c>
      <c r="M109" s="315">
        <f t="shared" si="14"/>
        <v>0</v>
      </c>
      <c r="N109" s="316">
        <f t="shared" si="14"/>
        <v>0</v>
      </c>
    </row>
    <row r="110" spans="1:14" ht="12.75">
      <c r="A110" s="29"/>
      <c r="B110" s="264">
        <f>'Excerpt WDH'!B43</f>
        <v>7</v>
      </c>
      <c r="C110" s="314">
        <f t="shared" si="14"/>
        <v>452980</v>
      </c>
      <c r="D110" s="315">
        <f t="shared" si="14"/>
        <v>691851</v>
      </c>
      <c r="E110" s="315">
        <f t="shared" si="14"/>
        <v>659850</v>
      </c>
      <c r="F110" s="315">
        <f t="shared" si="14"/>
        <v>0</v>
      </c>
      <c r="G110" s="315">
        <f t="shared" si="14"/>
        <v>0</v>
      </c>
      <c r="H110" s="315">
        <f t="shared" si="14"/>
        <v>0</v>
      </c>
      <c r="I110" s="315">
        <f t="shared" si="14"/>
        <v>0</v>
      </c>
      <c r="J110" s="315">
        <f t="shared" si="14"/>
        <v>0</v>
      </c>
      <c r="K110" s="315">
        <f t="shared" si="14"/>
        <v>0</v>
      </c>
      <c r="L110" s="315">
        <f t="shared" si="14"/>
        <v>0</v>
      </c>
      <c r="M110" s="315">
        <f t="shared" si="14"/>
        <v>0</v>
      </c>
      <c r="N110" s="316">
        <f t="shared" si="14"/>
        <v>0</v>
      </c>
    </row>
    <row r="111" spans="1:14" ht="12.75">
      <c r="A111" s="29"/>
      <c r="B111" s="264">
        <f>'Excerpt WDH'!B44</f>
        <v>6</v>
      </c>
      <c r="C111" s="314">
        <f t="shared" si="14"/>
        <v>116946</v>
      </c>
      <c r="D111" s="315">
        <f t="shared" si="14"/>
        <v>122135</v>
      </c>
      <c r="E111" s="315">
        <f t="shared" si="14"/>
        <v>176820</v>
      </c>
      <c r="F111" s="315">
        <f t="shared" si="14"/>
        <v>0</v>
      </c>
      <c r="G111" s="315">
        <f t="shared" si="14"/>
        <v>0</v>
      </c>
      <c r="H111" s="315">
        <f t="shared" si="14"/>
        <v>0</v>
      </c>
      <c r="I111" s="315">
        <f t="shared" si="14"/>
        <v>0</v>
      </c>
      <c r="J111" s="315">
        <f t="shared" si="14"/>
        <v>0</v>
      </c>
      <c r="K111" s="315">
        <f t="shared" si="14"/>
        <v>0</v>
      </c>
      <c r="L111" s="315">
        <f t="shared" si="14"/>
        <v>0</v>
      </c>
      <c r="M111" s="315">
        <f t="shared" si="14"/>
        <v>0</v>
      </c>
      <c r="N111" s="316">
        <f t="shared" si="14"/>
        <v>0</v>
      </c>
    </row>
    <row r="112" spans="1:14" ht="12.75">
      <c r="A112" s="29"/>
      <c r="B112" s="264">
        <f>'Excerpt WDH'!B45</f>
        <v>5</v>
      </c>
      <c r="C112" s="314">
        <f t="shared" si="14"/>
        <v>110808</v>
      </c>
      <c r="D112" s="315">
        <f t="shared" si="14"/>
        <v>98604</v>
      </c>
      <c r="E112" s="315">
        <f t="shared" si="14"/>
        <v>88616</v>
      </c>
      <c r="F112" s="315">
        <f t="shared" si="14"/>
        <v>0</v>
      </c>
      <c r="G112" s="315">
        <f t="shared" si="14"/>
        <v>0</v>
      </c>
      <c r="H112" s="315">
        <f t="shared" si="14"/>
        <v>0</v>
      </c>
      <c r="I112" s="315">
        <f t="shared" si="14"/>
        <v>0</v>
      </c>
      <c r="J112" s="315">
        <f t="shared" si="14"/>
        <v>0</v>
      </c>
      <c r="K112" s="315">
        <f t="shared" si="14"/>
        <v>0</v>
      </c>
      <c r="L112" s="315">
        <f t="shared" si="14"/>
        <v>0</v>
      </c>
      <c r="M112" s="315">
        <f t="shared" si="14"/>
        <v>0</v>
      </c>
      <c r="N112" s="316">
        <f t="shared" si="14"/>
        <v>0</v>
      </c>
    </row>
    <row r="113" spans="1:14" ht="12.75">
      <c r="A113" s="29"/>
      <c r="B113" s="264">
        <f>'Excerpt WDH'!B46</f>
        <v>4</v>
      </c>
      <c r="C113" s="314">
        <f t="shared" si="14"/>
        <v>23248</v>
      </c>
      <c r="D113" s="315">
        <f t="shared" si="14"/>
        <v>17280</v>
      </c>
      <c r="E113" s="315">
        <f t="shared" si="14"/>
        <v>17292</v>
      </c>
      <c r="F113" s="315">
        <f t="shared" si="14"/>
        <v>0</v>
      </c>
      <c r="G113" s="315">
        <f t="shared" si="14"/>
        <v>0</v>
      </c>
      <c r="H113" s="315">
        <f t="shared" si="14"/>
        <v>0</v>
      </c>
      <c r="I113" s="315">
        <f t="shared" si="14"/>
        <v>0</v>
      </c>
      <c r="J113" s="315">
        <f t="shared" si="14"/>
        <v>0</v>
      </c>
      <c r="K113" s="315">
        <f t="shared" si="14"/>
        <v>0</v>
      </c>
      <c r="L113" s="315">
        <f t="shared" si="14"/>
        <v>0</v>
      </c>
      <c r="M113" s="315">
        <f t="shared" si="14"/>
        <v>0</v>
      </c>
      <c r="N113" s="316">
        <f t="shared" si="14"/>
        <v>0</v>
      </c>
    </row>
    <row r="114" spans="1:14" ht="12.75">
      <c r="A114" s="29"/>
      <c r="B114" s="264">
        <f>'Excerpt WDH'!B47</f>
        <v>3</v>
      </c>
      <c r="C114" s="314">
        <f t="shared" si="14"/>
        <v>14380</v>
      </c>
      <c r="D114" s="315">
        <f t="shared" si="14"/>
        <v>5142</v>
      </c>
      <c r="E114" s="315">
        <f t="shared" si="14"/>
        <v>4677</v>
      </c>
      <c r="F114" s="315">
        <f t="shared" si="14"/>
        <v>0</v>
      </c>
      <c r="G114" s="315">
        <f t="shared" si="14"/>
        <v>0</v>
      </c>
      <c r="H114" s="315">
        <f t="shared" si="14"/>
        <v>0</v>
      </c>
      <c r="I114" s="315">
        <f t="shared" si="14"/>
        <v>0</v>
      </c>
      <c r="J114" s="315">
        <f t="shared" si="14"/>
        <v>0</v>
      </c>
      <c r="K114" s="315">
        <f t="shared" si="14"/>
        <v>0</v>
      </c>
      <c r="L114" s="315">
        <f t="shared" si="14"/>
        <v>0</v>
      </c>
      <c r="M114" s="315">
        <f t="shared" si="14"/>
        <v>0</v>
      </c>
      <c r="N114" s="316">
        <f t="shared" si="14"/>
        <v>0</v>
      </c>
    </row>
    <row r="115" spans="1:14" ht="12.75">
      <c r="A115" s="29"/>
      <c r="B115" s="264">
        <f>'Excerpt WDH'!B48</f>
        <v>2</v>
      </c>
      <c r="C115" s="314">
        <f t="shared" si="14"/>
        <v>8634</v>
      </c>
      <c r="D115" s="315">
        <f t="shared" si="14"/>
        <v>3424</v>
      </c>
      <c r="E115" s="315">
        <f t="shared" si="14"/>
        <v>7770</v>
      </c>
      <c r="F115" s="315">
        <f t="shared" si="14"/>
        <v>0</v>
      </c>
      <c r="G115" s="315">
        <f t="shared" si="14"/>
        <v>0</v>
      </c>
      <c r="H115" s="315">
        <f t="shared" si="14"/>
        <v>0</v>
      </c>
      <c r="I115" s="315">
        <f t="shared" si="14"/>
        <v>0</v>
      </c>
      <c r="J115" s="315">
        <f t="shared" si="14"/>
        <v>0</v>
      </c>
      <c r="K115" s="315">
        <f t="shared" si="14"/>
        <v>0</v>
      </c>
      <c r="L115" s="315">
        <f t="shared" si="14"/>
        <v>0</v>
      </c>
      <c r="M115" s="315">
        <f t="shared" si="14"/>
        <v>0</v>
      </c>
      <c r="N115" s="316">
        <f t="shared" si="14"/>
        <v>0</v>
      </c>
    </row>
    <row r="116" spans="1:14" ht="12.75">
      <c r="A116" s="29"/>
      <c r="B116" s="264">
        <f>'Excerpt WDH'!B49</f>
        <v>1</v>
      </c>
      <c r="C116" s="314">
        <f t="shared" si="14"/>
        <v>1434</v>
      </c>
      <c r="D116" s="315">
        <f t="shared" si="14"/>
        <v>3404</v>
      </c>
      <c r="E116" s="315">
        <f t="shared" si="14"/>
        <v>0</v>
      </c>
      <c r="F116" s="315">
        <f t="shared" si="14"/>
        <v>0</v>
      </c>
      <c r="G116" s="315">
        <f t="shared" si="14"/>
        <v>0</v>
      </c>
      <c r="H116" s="315">
        <f t="shared" si="14"/>
        <v>0</v>
      </c>
      <c r="I116" s="315">
        <f t="shared" si="14"/>
        <v>0</v>
      </c>
      <c r="J116" s="315">
        <f t="shared" si="14"/>
        <v>0</v>
      </c>
      <c r="K116" s="315">
        <f t="shared" si="14"/>
        <v>0</v>
      </c>
      <c r="L116" s="315">
        <f t="shared" si="14"/>
        <v>0</v>
      </c>
      <c r="M116" s="315">
        <f t="shared" si="14"/>
        <v>0</v>
      </c>
      <c r="N116" s="316">
        <f t="shared" si="14"/>
        <v>0</v>
      </c>
    </row>
    <row r="117" spans="1:14" ht="13.5" thickBot="1">
      <c r="A117" s="29"/>
      <c r="B117" s="264">
        <f>'Excerpt WDH'!B50</f>
        <v>0</v>
      </c>
      <c r="C117" s="317">
        <f t="shared" si="14"/>
        <v>8616</v>
      </c>
      <c r="D117" s="318">
        <f t="shared" si="14"/>
        <v>3418</v>
      </c>
      <c r="E117" s="318">
        <f t="shared" si="14"/>
        <v>3108</v>
      </c>
      <c r="F117" s="318">
        <f t="shared" si="14"/>
        <v>0</v>
      </c>
      <c r="G117" s="318">
        <f t="shared" si="14"/>
        <v>0</v>
      </c>
      <c r="H117" s="318">
        <f t="shared" si="14"/>
        <v>0</v>
      </c>
      <c r="I117" s="318">
        <f t="shared" si="14"/>
        <v>0</v>
      </c>
      <c r="J117" s="318">
        <f t="shared" si="14"/>
        <v>0</v>
      </c>
      <c r="K117" s="318">
        <f t="shared" si="14"/>
        <v>0</v>
      </c>
      <c r="L117" s="318">
        <f t="shared" si="14"/>
        <v>0</v>
      </c>
      <c r="M117" s="318">
        <f t="shared" si="14"/>
        <v>0</v>
      </c>
      <c r="N117" s="319">
        <f t="shared" si="14"/>
        <v>0</v>
      </c>
    </row>
    <row r="118" spans="2:17" ht="12.75">
      <c r="B118" t="s">
        <v>85</v>
      </c>
      <c r="E118" s="365">
        <f>SUM(C106:N117)</f>
        <v>10576603</v>
      </c>
      <c r="F118" s="365"/>
      <c r="G118" s="365"/>
      <c r="P118" s="126"/>
      <c r="Q118" s="159"/>
    </row>
    <row r="120" ht="13.5" thickBot="1">
      <c r="A120" s="25" t="s">
        <v>81</v>
      </c>
    </row>
    <row r="121" spans="1:14" ht="13.5" thickBot="1">
      <c r="A121" s="29"/>
      <c r="B121" s="30"/>
      <c r="C121" s="31">
        <v>1</v>
      </c>
      <c r="D121" s="32">
        <f aca="true" t="shared" si="15" ref="D121:N121">C121+1</f>
        <v>2</v>
      </c>
      <c r="E121" s="32">
        <f t="shared" si="15"/>
        <v>3</v>
      </c>
      <c r="F121" s="32">
        <f t="shared" si="15"/>
        <v>4</v>
      </c>
      <c r="G121" s="32">
        <f t="shared" si="15"/>
        <v>5</v>
      </c>
      <c r="H121" s="32">
        <f t="shared" si="15"/>
        <v>6</v>
      </c>
      <c r="I121" s="32">
        <f t="shared" si="15"/>
        <v>7</v>
      </c>
      <c r="J121" s="32">
        <f t="shared" si="15"/>
        <v>8</v>
      </c>
      <c r="K121" s="32">
        <f t="shared" si="15"/>
        <v>9</v>
      </c>
      <c r="L121" s="32">
        <f t="shared" si="15"/>
        <v>10</v>
      </c>
      <c r="M121" s="32">
        <f t="shared" si="15"/>
        <v>11</v>
      </c>
      <c r="N121" s="33">
        <f t="shared" si="15"/>
        <v>12</v>
      </c>
    </row>
    <row r="122" spans="1:14" ht="12.75">
      <c r="A122" s="29"/>
      <c r="B122" s="264">
        <f>'Excerpt WDH'!B39</f>
      </c>
      <c r="C122" s="229">
        <f aca="true" t="shared" si="16" ref="C122:N133">C9*C27*C27</f>
        <v>0</v>
      </c>
      <c r="D122" s="230">
        <f t="shared" si="16"/>
        <v>0</v>
      </c>
      <c r="E122" s="230">
        <f t="shared" si="16"/>
        <v>0</v>
      </c>
      <c r="F122" s="230">
        <f t="shared" si="16"/>
        <v>0</v>
      </c>
      <c r="G122" s="230">
        <f t="shared" si="16"/>
        <v>0</v>
      </c>
      <c r="H122" s="230">
        <f t="shared" si="16"/>
        <v>0</v>
      </c>
      <c r="I122" s="230">
        <f t="shared" si="16"/>
        <v>0</v>
      </c>
      <c r="J122" s="230">
        <f t="shared" si="16"/>
        <v>0</v>
      </c>
      <c r="K122" s="230">
        <f t="shared" si="16"/>
        <v>0</v>
      </c>
      <c r="L122" s="230">
        <f t="shared" si="16"/>
        <v>0</v>
      </c>
      <c r="M122" s="230">
        <f t="shared" si="16"/>
        <v>0</v>
      </c>
      <c r="N122" s="231">
        <f t="shared" si="16"/>
        <v>0</v>
      </c>
    </row>
    <row r="123" spans="1:14" ht="12.75">
      <c r="A123" s="29"/>
      <c r="B123" s="264">
        <f>'Excerpt WDH'!B40</f>
        <v>10</v>
      </c>
      <c r="C123" s="232">
        <f t="shared" si="16"/>
        <v>0</v>
      </c>
      <c r="D123" s="233">
        <f t="shared" si="16"/>
        <v>288344371</v>
      </c>
      <c r="E123" s="233">
        <f t="shared" si="16"/>
        <v>1124174679</v>
      </c>
      <c r="F123" s="233">
        <f t="shared" si="16"/>
        <v>0</v>
      </c>
      <c r="G123" s="233">
        <f t="shared" si="16"/>
        <v>0</v>
      </c>
      <c r="H123" s="233">
        <f t="shared" si="16"/>
        <v>0</v>
      </c>
      <c r="I123" s="233">
        <f t="shared" si="16"/>
        <v>0</v>
      </c>
      <c r="J123" s="233">
        <f t="shared" si="16"/>
        <v>0</v>
      </c>
      <c r="K123" s="233">
        <f t="shared" si="16"/>
        <v>0</v>
      </c>
      <c r="L123" s="233">
        <f t="shared" si="16"/>
        <v>0</v>
      </c>
      <c r="M123" s="233">
        <f t="shared" si="16"/>
        <v>0</v>
      </c>
      <c r="N123" s="234">
        <f t="shared" si="16"/>
        <v>0</v>
      </c>
    </row>
    <row r="124" spans="1:14" ht="12.75">
      <c r="A124" s="29"/>
      <c r="B124" s="264">
        <f>'Excerpt WDH'!B41</f>
        <v>9</v>
      </c>
      <c r="C124" s="232">
        <f t="shared" si="16"/>
        <v>48736400</v>
      </c>
      <c r="D124" s="233">
        <f t="shared" si="16"/>
        <v>429876720</v>
      </c>
      <c r="E124" s="233">
        <f t="shared" si="16"/>
        <v>1212361920</v>
      </c>
      <c r="F124" s="233">
        <f t="shared" si="16"/>
        <v>0</v>
      </c>
      <c r="G124" s="233">
        <f t="shared" si="16"/>
        <v>0</v>
      </c>
      <c r="H124" s="233">
        <f t="shared" si="16"/>
        <v>0</v>
      </c>
      <c r="I124" s="233">
        <f t="shared" si="16"/>
        <v>0</v>
      </c>
      <c r="J124" s="233">
        <f t="shared" si="16"/>
        <v>0</v>
      </c>
      <c r="K124" s="233">
        <f t="shared" si="16"/>
        <v>0</v>
      </c>
      <c r="L124" s="233">
        <f t="shared" si="16"/>
        <v>0</v>
      </c>
      <c r="M124" s="233">
        <f t="shared" si="16"/>
        <v>0</v>
      </c>
      <c r="N124" s="234">
        <f t="shared" si="16"/>
        <v>0</v>
      </c>
    </row>
    <row r="125" spans="1:14" ht="12.75">
      <c r="A125" s="29"/>
      <c r="B125" s="264">
        <f>'Excerpt WDH'!B42</f>
        <v>8</v>
      </c>
      <c r="C125" s="232">
        <f t="shared" si="16"/>
        <v>569491600</v>
      </c>
      <c r="D125" s="233">
        <f t="shared" si="16"/>
        <v>495521712</v>
      </c>
      <c r="E125" s="233">
        <f t="shared" si="16"/>
        <v>387447535</v>
      </c>
      <c r="F125" s="233">
        <f t="shared" si="16"/>
        <v>0</v>
      </c>
      <c r="G125" s="233">
        <f t="shared" si="16"/>
        <v>0</v>
      </c>
      <c r="H125" s="233">
        <f t="shared" si="16"/>
        <v>0</v>
      </c>
      <c r="I125" s="233">
        <f t="shared" si="16"/>
        <v>0</v>
      </c>
      <c r="J125" s="233">
        <f t="shared" si="16"/>
        <v>0</v>
      </c>
      <c r="K125" s="233">
        <f t="shared" si="16"/>
        <v>0</v>
      </c>
      <c r="L125" s="233">
        <f t="shared" si="16"/>
        <v>0</v>
      </c>
      <c r="M125" s="233">
        <f t="shared" si="16"/>
        <v>0</v>
      </c>
      <c r="N125" s="234">
        <f t="shared" si="16"/>
        <v>0</v>
      </c>
    </row>
    <row r="126" spans="1:14" ht="12.75">
      <c r="A126" s="29"/>
      <c r="B126" s="264">
        <f>'Excerpt WDH'!B43</f>
        <v>7</v>
      </c>
      <c r="C126" s="232">
        <f t="shared" si="16"/>
        <v>1166837980</v>
      </c>
      <c r="D126" s="233">
        <f t="shared" si="16"/>
        <v>469769301</v>
      </c>
      <c r="E126" s="233">
        <f t="shared" si="16"/>
        <v>32971512</v>
      </c>
      <c r="F126" s="233">
        <f t="shared" si="16"/>
        <v>0</v>
      </c>
      <c r="G126" s="233">
        <f t="shared" si="16"/>
        <v>0</v>
      </c>
      <c r="H126" s="233">
        <f t="shared" si="16"/>
        <v>0</v>
      </c>
      <c r="I126" s="233">
        <f t="shared" si="16"/>
        <v>0</v>
      </c>
      <c r="J126" s="233">
        <f t="shared" si="16"/>
        <v>0</v>
      </c>
      <c r="K126" s="233">
        <f t="shared" si="16"/>
        <v>0</v>
      </c>
      <c r="L126" s="233">
        <f t="shared" si="16"/>
        <v>0</v>
      </c>
      <c r="M126" s="233">
        <f t="shared" si="16"/>
        <v>0</v>
      </c>
      <c r="N126" s="234">
        <f t="shared" si="16"/>
        <v>0</v>
      </c>
    </row>
    <row r="127" spans="1:14" ht="12.75">
      <c r="A127" s="29"/>
      <c r="B127" s="264">
        <f>'Excerpt WDH'!B44</f>
        <v>6</v>
      </c>
      <c r="C127" s="232">
        <f t="shared" si="16"/>
        <v>626697700</v>
      </c>
      <c r="D127" s="233">
        <f t="shared" si="16"/>
        <v>141991460</v>
      </c>
      <c r="E127" s="233">
        <f t="shared" si="16"/>
        <v>3554880</v>
      </c>
      <c r="F127" s="233">
        <f t="shared" si="16"/>
        <v>0</v>
      </c>
      <c r="G127" s="233">
        <f t="shared" si="16"/>
        <v>0</v>
      </c>
      <c r="H127" s="233">
        <f t="shared" si="16"/>
        <v>0</v>
      </c>
      <c r="I127" s="233">
        <f t="shared" si="16"/>
        <v>0</v>
      </c>
      <c r="J127" s="233">
        <f t="shared" si="16"/>
        <v>0</v>
      </c>
      <c r="K127" s="233">
        <f t="shared" si="16"/>
        <v>0</v>
      </c>
      <c r="L127" s="233">
        <f t="shared" si="16"/>
        <v>0</v>
      </c>
      <c r="M127" s="233">
        <f t="shared" si="16"/>
        <v>0</v>
      </c>
      <c r="N127" s="234">
        <f t="shared" si="16"/>
        <v>0</v>
      </c>
    </row>
    <row r="128" spans="1:14" ht="12.75">
      <c r="A128" s="29"/>
      <c r="B128" s="264">
        <f>'Excerpt WDH'!B45</f>
        <v>5</v>
      </c>
      <c r="C128" s="232">
        <f t="shared" si="16"/>
        <v>691920000</v>
      </c>
      <c r="D128" s="233">
        <f t="shared" si="16"/>
        <v>123288534</v>
      </c>
      <c r="E128" s="233">
        <f t="shared" si="16"/>
        <v>178292</v>
      </c>
      <c r="F128" s="233">
        <f t="shared" si="16"/>
        <v>0</v>
      </c>
      <c r="G128" s="233">
        <f t="shared" si="16"/>
        <v>0</v>
      </c>
      <c r="H128" s="233">
        <f t="shared" si="16"/>
        <v>0</v>
      </c>
      <c r="I128" s="233">
        <f t="shared" si="16"/>
        <v>0</v>
      </c>
      <c r="J128" s="233">
        <f t="shared" si="16"/>
        <v>0</v>
      </c>
      <c r="K128" s="233">
        <f t="shared" si="16"/>
        <v>0</v>
      </c>
      <c r="L128" s="233">
        <f t="shared" si="16"/>
        <v>0</v>
      </c>
      <c r="M128" s="233">
        <f t="shared" si="16"/>
        <v>0</v>
      </c>
      <c r="N128" s="234">
        <f t="shared" si="16"/>
        <v>0</v>
      </c>
    </row>
    <row r="129" spans="1:14" ht="12.75">
      <c r="A129" s="29"/>
      <c r="B129" s="264">
        <f>'Excerpt WDH'!B46</f>
        <v>4</v>
      </c>
      <c r="C129" s="232">
        <f t="shared" si="16"/>
        <v>164557584</v>
      </c>
      <c r="D129" s="233">
        <f t="shared" si="16"/>
        <v>23963040</v>
      </c>
      <c r="E129" s="233">
        <f t="shared" si="16"/>
        <v>11264</v>
      </c>
      <c r="F129" s="233">
        <f t="shared" si="16"/>
        <v>0</v>
      </c>
      <c r="G129" s="233">
        <f t="shared" si="16"/>
        <v>0</v>
      </c>
      <c r="H129" s="233">
        <f t="shared" si="16"/>
        <v>0</v>
      </c>
      <c r="I129" s="233">
        <f t="shared" si="16"/>
        <v>0</v>
      </c>
      <c r="J129" s="233">
        <f t="shared" si="16"/>
        <v>0</v>
      </c>
      <c r="K129" s="233">
        <f t="shared" si="16"/>
        <v>0</v>
      </c>
      <c r="L129" s="233">
        <f t="shared" si="16"/>
        <v>0</v>
      </c>
      <c r="M129" s="233">
        <f t="shared" si="16"/>
        <v>0</v>
      </c>
      <c r="N129" s="234">
        <f t="shared" si="16"/>
        <v>0</v>
      </c>
    </row>
    <row r="130" spans="1:14" ht="12.75">
      <c r="A130" s="29"/>
      <c r="B130" s="264">
        <f>'Excerpt WDH'!B47</f>
        <v>3</v>
      </c>
      <c r="C130" s="232">
        <f t="shared" si="16"/>
        <v>104199840</v>
      </c>
      <c r="D130" s="233">
        <f t="shared" si="16"/>
        <v>7198203</v>
      </c>
      <c r="E130" s="233">
        <f t="shared" si="16"/>
        <v>1083</v>
      </c>
      <c r="F130" s="233">
        <f t="shared" si="16"/>
        <v>0</v>
      </c>
      <c r="G130" s="233">
        <f t="shared" si="16"/>
        <v>0</v>
      </c>
      <c r="H130" s="233">
        <f t="shared" si="16"/>
        <v>0</v>
      </c>
      <c r="I130" s="233">
        <f t="shared" si="16"/>
        <v>0</v>
      </c>
      <c r="J130" s="233">
        <f t="shared" si="16"/>
        <v>0</v>
      </c>
      <c r="K130" s="233">
        <f t="shared" si="16"/>
        <v>0</v>
      </c>
      <c r="L130" s="233">
        <f t="shared" si="16"/>
        <v>0</v>
      </c>
      <c r="M130" s="233">
        <f t="shared" si="16"/>
        <v>0</v>
      </c>
      <c r="N130" s="234">
        <f t="shared" si="16"/>
        <v>0</v>
      </c>
    </row>
    <row r="131" spans="1:14" ht="12.75">
      <c r="A131" s="29"/>
      <c r="B131" s="264">
        <f>'Excerpt WDH'!B48</f>
        <v>2</v>
      </c>
      <c r="C131" s="232">
        <f t="shared" si="16"/>
        <v>62752536</v>
      </c>
      <c r="D131" s="233">
        <f t="shared" si="16"/>
        <v>4780232</v>
      </c>
      <c r="E131" s="233">
        <f t="shared" si="16"/>
        <v>605</v>
      </c>
      <c r="F131" s="233">
        <f t="shared" si="16"/>
        <v>0</v>
      </c>
      <c r="G131" s="233">
        <f t="shared" si="16"/>
        <v>0</v>
      </c>
      <c r="H131" s="233">
        <f t="shared" si="16"/>
        <v>0</v>
      </c>
      <c r="I131" s="233">
        <f t="shared" si="16"/>
        <v>0</v>
      </c>
      <c r="J131" s="233">
        <f t="shared" si="16"/>
        <v>0</v>
      </c>
      <c r="K131" s="233">
        <f t="shared" si="16"/>
        <v>0</v>
      </c>
      <c r="L131" s="233">
        <f t="shared" si="16"/>
        <v>0</v>
      </c>
      <c r="M131" s="233">
        <f t="shared" si="16"/>
        <v>0</v>
      </c>
      <c r="N131" s="234">
        <f t="shared" si="16"/>
        <v>0</v>
      </c>
    </row>
    <row r="132" spans="1:14" ht="12.75">
      <c r="A132" s="29"/>
      <c r="B132" s="264">
        <f>'Excerpt WDH'!B49</f>
        <v>1</v>
      </c>
      <c r="C132" s="232">
        <f t="shared" si="16"/>
        <v>10504081</v>
      </c>
      <c r="D132" s="233">
        <f t="shared" si="16"/>
        <v>4805000</v>
      </c>
      <c r="E132" s="233">
        <f t="shared" si="16"/>
        <v>0</v>
      </c>
      <c r="F132" s="233">
        <f t="shared" si="16"/>
        <v>0</v>
      </c>
      <c r="G132" s="233">
        <f t="shared" si="16"/>
        <v>0</v>
      </c>
      <c r="H132" s="233">
        <f t="shared" si="16"/>
        <v>0</v>
      </c>
      <c r="I132" s="233">
        <f t="shared" si="16"/>
        <v>0</v>
      </c>
      <c r="J132" s="233">
        <f t="shared" si="16"/>
        <v>0</v>
      </c>
      <c r="K132" s="233">
        <f t="shared" si="16"/>
        <v>0</v>
      </c>
      <c r="L132" s="233">
        <f t="shared" si="16"/>
        <v>0</v>
      </c>
      <c r="M132" s="233">
        <f t="shared" si="16"/>
        <v>0</v>
      </c>
      <c r="N132" s="234">
        <f t="shared" si="16"/>
        <v>0</v>
      </c>
    </row>
    <row r="133" spans="1:14" ht="13.5" thickBot="1">
      <c r="A133" s="29"/>
      <c r="B133" s="264">
        <f>'Excerpt WDH'!B50</f>
        <v>0</v>
      </c>
      <c r="C133" s="235">
        <f t="shared" si="16"/>
        <v>63102294</v>
      </c>
      <c r="D133" s="236">
        <f t="shared" si="16"/>
        <v>4767872</v>
      </c>
      <c r="E133" s="236">
        <f t="shared" si="16"/>
        <v>0</v>
      </c>
      <c r="F133" s="236">
        <f t="shared" si="16"/>
        <v>0</v>
      </c>
      <c r="G133" s="236">
        <f t="shared" si="16"/>
        <v>0</v>
      </c>
      <c r="H133" s="236">
        <f t="shared" si="16"/>
        <v>0</v>
      </c>
      <c r="I133" s="236">
        <f t="shared" si="16"/>
        <v>0</v>
      </c>
      <c r="J133" s="236">
        <f t="shared" si="16"/>
        <v>0</v>
      </c>
      <c r="K133" s="236">
        <f t="shared" si="16"/>
        <v>0</v>
      </c>
      <c r="L133" s="236">
        <f t="shared" si="16"/>
        <v>0</v>
      </c>
      <c r="M133" s="236">
        <f t="shared" si="16"/>
        <v>0</v>
      </c>
      <c r="N133" s="237">
        <f t="shared" si="16"/>
        <v>0</v>
      </c>
    </row>
    <row r="134" spans="1:17" ht="12.75">
      <c r="A134" s="29"/>
      <c r="B134" t="s">
        <v>85</v>
      </c>
      <c r="E134" s="366">
        <f>SUM(C122:N133)</f>
        <v>8263808230</v>
      </c>
      <c r="F134" s="366"/>
      <c r="G134" s="366"/>
      <c r="P134" s="126"/>
      <c r="Q134" s="159"/>
    </row>
    <row r="136" ht="13.5" thickBot="1">
      <c r="A136" s="25" t="s">
        <v>82</v>
      </c>
    </row>
    <row r="137" spans="1:14" ht="13.5" thickBot="1">
      <c r="A137" s="29"/>
      <c r="B137" s="30"/>
      <c r="C137" s="31">
        <v>1</v>
      </c>
      <c r="D137" s="32">
        <f aca="true" t="shared" si="17" ref="D137:N137">C137+1</f>
        <v>2</v>
      </c>
      <c r="E137" s="32">
        <f t="shared" si="17"/>
        <v>3</v>
      </c>
      <c r="F137" s="32">
        <f t="shared" si="17"/>
        <v>4</v>
      </c>
      <c r="G137" s="32">
        <f t="shared" si="17"/>
        <v>5</v>
      </c>
      <c r="H137" s="32">
        <f t="shared" si="17"/>
        <v>6</v>
      </c>
      <c r="I137" s="32">
        <f t="shared" si="17"/>
        <v>7</v>
      </c>
      <c r="J137" s="32">
        <f t="shared" si="17"/>
        <v>8</v>
      </c>
      <c r="K137" s="32">
        <f t="shared" si="17"/>
        <v>9</v>
      </c>
      <c r="L137" s="32">
        <f t="shared" si="17"/>
        <v>10</v>
      </c>
      <c r="M137" s="32">
        <f t="shared" si="17"/>
        <v>11</v>
      </c>
      <c r="N137" s="33">
        <f t="shared" si="17"/>
        <v>12</v>
      </c>
    </row>
    <row r="138" spans="1:14" ht="12.75">
      <c r="A138" s="29"/>
      <c r="B138" s="264">
        <f>'Excerpt WDH'!B39</f>
      </c>
      <c r="C138" s="229">
        <f aca="true" t="shared" si="18" ref="C138:N149">C9*C42*C42</f>
        <v>0</v>
      </c>
      <c r="D138" s="230">
        <f t="shared" si="18"/>
        <v>0</v>
      </c>
      <c r="E138" s="230">
        <f t="shared" si="18"/>
        <v>0</v>
      </c>
      <c r="F138" s="230">
        <f t="shared" si="18"/>
        <v>0</v>
      </c>
      <c r="G138" s="230">
        <f t="shared" si="18"/>
        <v>0</v>
      </c>
      <c r="H138" s="230">
        <f t="shared" si="18"/>
        <v>0</v>
      </c>
      <c r="I138" s="230">
        <f t="shared" si="18"/>
        <v>0</v>
      </c>
      <c r="J138" s="230">
        <f t="shared" si="18"/>
        <v>0</v>
      </c>
      <c r="K138" s="230">
        <f t="shared" si="18"/>
        <v>0</v>
      </c>
      <c r="L138" s="230">
        <f t="shared" si="18"/>
        <v>0</v>
      </c>
      <c r="M138" s="230">
        <f t="shared" si="18"/>
        <v>0</v>
      </c>
      <c r="N138" s="231">
        <f t="shared" si="18"/>
        <v>0</v>
      </c>
    </row>
    <row r="139" spans="1:14" ht="12.75">
      <c r="A139" s="29"/>
      <c r="B139" s="264">
        <f>'Excerpt WDH'!B40</f>
        <v>10</v>
      </c>
      <c r="C139" s="232">
        <f t="shared" si="18"/>
        <v>2176884927</v>
      </c>
      <c r="D139" s="233">
        <f t="shared" si="18"/>
        <v>405915259</v>
      </c>
      <c r="E139" s="233">
        <f t="shared" si="18"/>
        <v>0</v>
      </c>
      <c r="F139" s="233">
        <f t="shared" si="18"/>
        <v>0</v>
      </c>
      <c r="G139" s="233">
        <f t="shared" si="18"/>
        <v>0</v>
      </c>
      <c r="H139" s="233">
        <f t="shared" si="18"/>
        <v>0</v>
      </c>
      <c r="I139" s="233">
        <f t="shared" si="18"/>
        <v>0</v>
      </c>
      <c r="J139" s="233">
        <f t="shared" si="18"/>
        <v>0</v>
      </c>
      <c r="K139" s="233">
        <f t="shared" si="18"/>
        <v>0</v>
      </c>
      <c r="L139" s="233">
        <f t="shared" si="18"/>
        <v>0</v>
      </c>
      <c r="M139" s="233">
        <f t="shared" si="18"/>
        <v>0</v>
      </c>
      <c r="N139" s="234">
        <f t="shared" si="18"/>
        <v>0</v>
      </c>
    </row>
    <row r="140" spans="1:14" ht="12.75">
      <c r="A140" s="29"/>
      <c r="B140" s="264">
        <f>'Excerpt WDH'!B41</f>
        <v>9</v>
      </c>
      <c r="C140" s="232">
        <f t="shared" si="18"/>
        <v>1521006084</v>
      </c>
      <c r="D140" s="233">
        <f t="shared" si="18"/>
        <v>763046375</v>
      </c>
      <c r="E140" s="233">
        <f t="shared" si="18"/>
        <v>79759980</v>
      </c>
      <c r="F140" s="233">
        <f t="shared" si="18"/>
        <v>0</v>
      </c>
      <c r="G140" s="233">
        <f t="shared" si="18"/>
        <v>0</v>
      </c>
      <c r="H140" s="233">
        <f t="shared" si="18"/>
        <v>0</v>
      </c>
      <c r="I140" s="233">
        <f t="shared" si="18"/>
        <v>0</v>
      </c>
      <c r="J140" s="233">
        <f t="shared" si="18"/>
        <v>0</v>
      </c>
      <c r="K140" s="233">
        <f t="shared" si="18"/>
        <v>0</v>
      </c>
      <c r="L140" s="233">
        <f t="shared" si="18"/>
        <v>0</v>
      </c>
      <c r="M140" s="233">
        <f t="shared" si="18"/>
        <v>0</v>
      </c>
      <c r="N140" s="234">
        <f t="shared" si="18"/>
        <v>0</v>
      </c>
    </row>
    <row r="141" spans="1:14" ht="12.75">
      <c r="A141" s="29"/>
      <c r="B141" s="264">
        <f>'Excerpt WDH'!B42</f>
        <v>8</v>
      </c>
      <c r="C141" s="232">
        <f t="shared" si="18"/>
        <v>364474624</v>
      </c>
      <c r="D141" s="233">
        <f t="shared" si="18"/>
        <v>732328128</v>
      </c>
      <c r="E141" s="233">
        <f t="shared" si="18"/>
        <v>883405375</v>
      </c>
      <c r="F141" s="233">
        <f t="shared" si="18"/>
        <v>0</v>
      </c>
      <c r="G141" s="233">
        <f t="shared" si="18"/>
        <v>0</v>
      </c>
      <c r="H141" s="233">
        <f t="shared" si="18"/>
        <v>0</v>
      </c>
      <c r="I141" s="233">
        <f t="shared" si="18"/>
        <v>0</v>
      </c>
      <c r="J141" s="233">
        <f t="shared" si="18"/>
        <v>0</v>
      </c>
      <c r="K141" s="233">
        <f t="shared" si="18"/>
        <v>0</v>
      </c>
      <c r="L141" s="233">
        <f t="shared" si="18"/>
        <v>0</v>
      </c>
      <c r="M141" s="233">
        <f t="shared" si="18"/>
        <v>0</v>
      </c>
      <c r="N141" s="234">
        <f t="shared" si="18"/>
        <v>0</v>
      </c>
    </row>
    <row r="142" spans="1:14" ht="12.75">
      <c r="A142" s="29"/>
      <c r="B142" s="264">
        <f>'Excerpt WDH'!B43</f>
        <v>7</v>
      </c>
      <c r="C142" s="232">
        <f t="shared" si="18"/>
        <v>22107580</v>
      </c>
      <c r="D142" s="233">
        <f t="shared" si="18"/>
        <v>450166341</v>
      </c>
      <c r="E142" s="233">
        <f t="shared" si="18"/>
        <v>1655992632</v>
      </c>
      <c r="F142" s="233">
        <f t="shared" si="18"/>
        <v>0</v>
      </c>
      <c r="G142" s="233">
        <f t="shared" si="18"/>
        <v>0</v>
      </c>
      <c r="H142" s="233">
        <f t="shared" si="18"/>
        <v>0</v>
      </c>
      <c r="I142" s="233">
        <f t="shared" si="18"/>
        <v>0</v>
      </c>
      <c r="J142" s="233">
        <f t="shared" si="18"/>
        <v>0</v>
      </c>
      <c r="K142" s="233">
        <f t="shared" si="18"/>
        <v>0</v>
      </c>
      <c r="L142" s="233">
        <f t="shared" si="18"/>
        <v>0</v>
      </c>
      <c r="M142" s="233">
        <f t="shared" si="18"/>
        <v>0</v>
      </c>
      <c r="N142" s="234">
        <f t="shared" si="18"/>
        <v>0</v>
      </c>
    </row>
    <row r="143" spans="1:14" ht="12.75">
      <c r="A143" s="29"/>
      <c r="B143" s="264">
        <f>'Excerpt WDH'!B44</f>
        <v>6</v>
      </c>
      <c r="C143" s="232">
        <f t="shared" si="18"/>
        <v>1577457</v>
      </c>
      <c r="D143" s="233">
        <f t="shared" si="18"/>
        <v>113599460</v>
      </c>
      <c r="E143" s="233">
        <f t="shared" si="18"/>
        <v>829680705</v>
      </c>
      <c r="F143" s="233">
        <f t="shared" si="18"/>
        <v>0</v>
      </c>
      <c r="G143" s="233">
        <f t="shared" si="18"/>
        <v>0</v>
      </c>
      <c r="H143" s="233">
        <f t="shared" si="18"/>
        <v>0</v>
      </c>
      <c r="I143" s="233">
        <f t="shared" si="18"/>
        <v>0</v>
      </c>
      <c r="J143" s="233">
        <f t="shared" si="18"/>
        <v>0</v>
      </c>
      <c r="K143" s="233">
        <f t="shared" si="18"/>
        <v>0</v>
      </c>
      <c r="L143" s="233">
        <f t="shared" si="18"/>
        <v>0</v>
      </c>
      <c r="M143" s="233">
        <f t="shared" si="18"/>
        <v>0</v>
      </c>
      <c r="N143" s="234">
        <f t="shared" si="18"/>
        <v>0</v>
      </c>
    </row>
    <row r="144" spans="1:14" ht="12.75">
      <c r="A144" s="29"/>
      <c r="B144" s="264">
        <f>'Excerpt WDH'!B45</f>
        <v>5</v>
      </c>
      <c r="C144" s="232">
        <f t="shared" si="18"/>
        <v>115200</v>
      </c>
      <c r="D144" s="233">
        <f t="shared" si="18"/>
        <v>97252056</v>
      </c>
      <c r="E144" s="233">
        <f t="shared" si="18"/>
        <v>460919853</v>
      </c>
      <c r="F144" s="233">
        <f t="shared" si="18"/>
        <v>0</v>
      </c>
      <c r="G144" s="233">
        <f t="shared" si="18"/>
        <v>0</v>
      </c>
      <c r="H144" s="233">
        <f t="shared" si="18"/>
        <v>0</v>
      </c>
      <c r="I144" s="233">
        <f t="shared" si="18"/>
        <v>0</v>
      </c>
      <c r="J144" s="233">
        <f t="shared" si="18"/>
        <v>0</v>
      </c>
      <c r="K144" s="233">
        <f t="shared" si="18"/>
        <v>0</v>
      </c>
      <c r="L144" s="233">
        <f t="shared" si="18"/>
        <v>0</v>
      </c>
      <c r="M144" s="233">
        <f t="shared" si="18"/>
        <v>0</v>
      </c>
      <c r="N144" s="234">
        <f t="shared" si="18"/>
        <v>0</v>
      </c>
    </row>
    <row r="145" spans="1:14" ht="12.75">
      <c r="A145" s="29"/>
      <c r="B145" s="264">
        <f>'Excerpt WDH'!B46</f>
        <v>4</v>
      </c>
      <c r="C145" s="232">
        <f t="shared" si="18"/>
        <v>5776</v>
      </c>
      <c r="D145" s="233">
        <f t="shared" si="18"/>
        <v>19684090</v>
      </c>
      <c r="E145" s="233">
        <f t="shared" si="18"/>
        <v>104011875</v>
      </c>
      <c r="F145" s="233">
        <f t="shared" si="18"/>
        <v>0</v>
      </c>
      <c r="G145" s="233">
        <f t="shared" si="18"/>
        <v>0</v>
      </c>
      <c r="H145" s="233">
        <f t="shared" si="18"/>
        <v>0</v>
      </c>
      <c r="I145" s="233">
        <f t="shared" si="18"/>
        <v>0</v>
      </c>
      <c r="J145" s="233">
        <f t="shared" si="18"/>
        <v>0</v>
      </c>
      <c r="K145" s="233">
        <f t="shared" si="18"/>
        <v>0</v>
      </c>
      <c r="L145" s="233">
        <f t="shared" si="18"/>
        <v>0</v>
      </c>
      <c r="M145" s="233">
        <f t="shared" si="18"/>
        <v>0</v>
      </c>
      <c r="N145" s="234">
        <f t="shared" si="18"/>
        <v>0</v>
      </c>
    </row>
    <row r="146" spans="1:14" ht="12.75">
      <c r="A146" s="29"/>
      <c r="B146" s="264">
        <f>'Excerpt WDH'!B47</f>
        <v>3</v>
      </c>
      <c r="C146" s="232">
        <f t="shared" si="18"/>
        <v>1690</v>
      </c>
      <c r="D146" s="233">
        <f t="shared" si="18"/>
        <v>6015168</v>
      </c>
      <c r="E146" s="233">
        <f t="shared" si="18"/>
        <v>28848603</v>
      </c>
      <c r="F146" s="233">
        <f t="shared" si="18"/>
        <v>0</v>
      </c>
      <c r="G146" s="233">
        <f t="shared" si="18"/>
        <v>0</v>
      </c>
      <c r="H146" s="233">
        <f t="shared" si="18"/>
        <v>0</v>
      </c>
      <c r="I146" s="233">
        <f t="shared" si="18"/>
        <v>0</v>
      </c>
      <c r="J146" s="233">
        <f t="shared" si="18"/>
        <v>0</v>
      </c>
      <c r="K146" s="233">
        <f t="shared" si="18"/>
        <v>0</v>
      </c>
      <c r="L146" s="233">
        <f t="shared" si="18"/>
        <v>0</v>
      </c>
      <c r="M146" s="233">
        <f t="shared" si="18"/>
        <v>0</v>
      </c>
      <c r="N146" s="234">
        <f t="shared" si="18"/>
        <v>0</v>
      </c>
    </row>
    <row r="147" spans="1:14" ht="12.75">
      <c r="A147" s="29"/>
      <c r="B147" s="264">
        <f>'Excerpt WDH'!B48</f>
        <v>2</v>
      </c>
      <c r="C147" s="232">
        <f t="shared" si="18"/>
        <v>216</v>
      </c>
      <c r="D147" s="233">
        <f t="shared" si="18"/>
        <v>4038482</v>
      </c>
      <c r="E147" s="233">
        <f t="shared" si="18"/>
        <v>48484980</v>
      </c>
      <c r="F147" s="233">
        <f t="shared" si="18"/>
        <v>0</v>
      </c>
      <c r="G147" s="233">
        <f t="shared" si="18"/>
        <v>0</v>
      </c>
      <c r="H147" s="233">
        <f t="shared" si="18"/>
        <v>0</v>
      </c>
      <c r="I147" s="233">
        <f t="shared" si="18"/>
        <v>0</v>
      </c>
      <c r="J147" s="233">
        <f t="shared" si="18"/>
        <v>0</v>
      </c>
      <c r="K147" s="233">
        <f t="shared" si="18"/>
        <v>0</v>
      </c>
      <c r="L147" s="233">
        <f t="shared" si="18"/>
        <v>0</v>
      </c>
      <c r="M147" s="233">
        <f t="shared" si="18"/>
        <v>0</v>
      </c>
      <c r="N147" s="234">
        <f t="shared" si="18"/>
        <v>0</v>
      </c>
    </row>
    <row r="148" spans="1:14" ht="12.75">
      <c r="A148" s="29"/>
      <c r="B148" s="264">
        <f>'Excerpt WDH'!B49</f>
        <v>1</v>
      </c>
      <c r="C148" s="232">
        <f t="shared" si="18"/>
        <v>16</v>
      </c>
      <c r="D148" s="233">
        <f t="shared" si="18"/>
        <v>4072658</v>
      </c>
      <c r="E148" s="233">
        <f t="shared" si="18"/>
        <v>0</v>
      </c>
      <c r="F148" s="233">
        <f t="shared" si="18"/>
        <v>0</v>
      </c>
      <c r="G148" s="233">
        <f t="shared" si="18"/>
        <v>0</v>
      </c>
      <c r="H148" s="233">
        <f t="shared" si="18"/>
        <v>0</v>
      </c>
      <c r="I148" s="233">
        <f t="shared" si="18"/>
        <v>0</v>
      </c>
      <c r="J148" s="233">
        <f t="shared" si="18"/>
        <v>0</v>
      </c>
      <c r="K148" s="233">
        <f t="shared" si="18"/>
        <v>0</v>
      </c>
      <c r="L148" s="233">
        <f t="shared" si="18"/>
        <v>0</v>
      </c>
      <c r="M148" s="233">
        <f t="shared" si="18"/>
        <v>0</v>
      </c>
      <c r="N148" s="234">
        <f t="shared" si="18"/>
        <v>0</v>
      </c>
    </row>
    <row r="149" spans="1:14" ht="13.5" thickBot="1">
      <c r="A149" s="29"/>
      <c r="B149" s="264">
        <f>'Excerpt WDH'!B50</f>
        <v>0</v>
      </c>
      <c r="C149" s="235">
        <f t="shared" si="18"/>
        <v>0</v>
      </c>
      <c r="D149" s="236">
        <f t="shared" si="18"/>
        <v>4066952</v>
      </c>
      <c r="E149" s="236">
        <f t="shared" si="18"/>
        <v>19531250</v>
      </c>
      <c r="F149" s="236">
        <f t="shared" si="18"/>
        <v>0</v>
      </c>
      <c r="G149" s="236">
        <f t="shared" si="18"/>
        <v>0</v>
      </c>
      <c r="H149" s="236">
        <f t="shared" si="18"/>
        <v>0</v>
      </c>
      <c r="I149" s="236">
        <f t="shared" si="18"/>
        <v>0</v>
      </c>
      <c r="J149" s="236">
        <f t="shared" si="18"/>
        <v>0</v>
      </c>
      <c r="K149" s="236">
        <f t="shared" si="18"/>
        <v>0</v>
      </c>
      <c r="L149" s="236">
        <f t="shared" si="18"/>
        <v>0</v>
      </c>
      <c r="M149" s="236">
        <f t="shared" si="18"/>
        <v>0</v>
      </c>
      <c r="N149" s="237">
        <f t="shared" si="18"/>
        <v>0</v>
      </c>
    </row>
    <row r="150" spans="1:17" ht="12.75">
      <c r="A150" s="29"/>
      <c r="B150" t="s">
        <v>85</v>
      </c>
      <c r="E150" s="367">
        <f>SUM(C138:N149)</f>
        <v>10796993792</v>
      </c>
      <c r="F150" s="364"/>
      <c r="G150" s="364"/>
      <c r="P150" s="126"/>
      <c r="Q150" s="159"/>
    </row>
    <row r="151" spans="1:17" ht="12.75">
      <c r="A151" s="29"/>
      <c r="E151" s="163"/>
      <c r="P151" s="126"/>
      <c r="Q151" s="159"/>
    </row>
    <row r="152" spans="1:17" ht="12.75">
      <c r="A152" s="29"/>
      <c r="E152" s="163"/>
      <c r="P152" s="126"/>
      <c r="Q152" s="159"/>
    </row>
    <row r="153" ht="13.5" thickBot="1">
      <c r="A153" s="25" t="s">
        <v>83</v>
      </c>
    </row>
    <row r="154" spans="1:14" ht="13.5" thickBot="1">
      <c r="A154" s="29"/>
      <c r="B154" s="30"/>
      <c r="C154" s="31">
        <v>1</v>
      </c>
      <c r="D154" s="32">
        <f aca="true" t="shared" si="19" ref="D154:N154">C154+1</f>
        <v>2</v>
      </c>
      <c r="E154" s="32">
        <f t="shared" si="19"/>
        <v>3</v>
      </c>
      <c r="F154" s="32">
        <f t="shared" si="19"/>
        <v>4</v>
      </c>
      <c r="G154" s="32">
        <f t="shared" si="19"/>
        <v>5</v>
      </c>
      <c r="H154" s="32">
        <f t="shared" si="19"/>
        <v>6</v>
      </c>
      <c r="I154" s="32">
        <f t="shared" si="19"/>
        <v>7</v>
      </c>
      <c r="J154" s="32">
        <f t="shared" si="19"/>
        <v>8</v>
      </c>
      <c r="K154" s="32">
        <f t="shared" si="19"/>
        <v>9</v>
      </c>
      <c r="L154" s="32">
        <f t="shared" si="19"/>
        <v>10</v>
      </c>
      <c r="M154" s="32">
        <f t="shared" si="19"/>
        <v>11</v>
      </c>
      <c r="N154" s="33">
        <f t="shared" si="19"/>
        <v>12</v>
      </c>
    </row>
    <row r="155" spans="1:14" ht="12.75">
      <c r="A155" s="29"/>
      <c r="B155" s="264">
        <f>'Excerpt WDH'!B39</f>
      </c>
      <c r="C155" s="229">
        <f aca="true" t="shared" si="20" ref="C155:N166">C9*C27*C42</f>
        <v>0</v>
      </c>
      <c r="D155" s="230">
        <f t="shared" si="20"/>
        <v>0</v>
      </c>
      <c r="E155" s="230">
        <f t="shared" si="20"/>
        <v>0</v>
      </c>
      <c r="F155" s="230">
        <f t="shared" si="20"/>
        <v>0</v>
      </c>
      <c r="G155" s="230">
        <f t="shared" si="20"/>
        <v>0</v>
      </c>
      <c r="H155" s="230">
        <f t="shared" si="20"/>
        <v>0</v>
      </c>
      <c r="I155" s="230">
        <f t="shared" si="20"/>
        <v>0</v>
      </c>
      <c r="J155" s="230">
        <f t="shared" si="20"/>
        <v>0</v>
      </c>
      <c r="K155" s="230">
        <f t="shared" si="20"/>
        <v>0</v>
      </c>
      <c r="L155" s="230">
        <f t="shared" si="20"/>
        <v>0</v>
      </c>
      <c r="M155" s="230">
        <f t="shared" si="20"/>
        <v>0</v>
      </c>
      <c r="N155" s="231">
        <f t="shared" si="20"/>
        <v>0</v>
      </c>
    </row>
    <row r="156" spans="1:14" ht="12.75">
      <c r="A156" s="29"/>
      <c r="B156" s="264">
        <f>'Excerpt WDH'!B40</f>
        <v>10</v>
      </c>
      <c r="C156" s="232">
        <f t="shared" si="20"/>
        <v>0</v>
      </c>
      <c r="D156" s="233">
        <f t="shared" si="20"/>
        <v>342116033</v>
      </c>
      <c r="E156" s="233">
        <f t="shared" si="20"/>
        <v>0</v>
      </c>
      <c r="F156" s="233">
        <f t="shared" si="20"/>
        <v>0</v>
      </c>
      <c r="G156" s="233">
        <f t="shared" si="20"/>
        <v>0</v>
      </c>
      <c r="H156" s="233">
        <f t="shared" si="20"/>
        <v>0</v>
      </c>
      <c r="I156" s="233">
        <f t="shared" si="20"/>
        <v>0</v>
      </c>
      <c r="J156" s="233">
        <f t="shared" si="20"/>
        <v>0</v>
      </c>
      <c r="K156" s="233">
        <f t="shared" si="20"/>
        <v>0</v>
      </c>
      <c r="L156" s="233">
        <f t="shared" si="20"/>
        <v>0</v>
      </c>
      <c r="M156" s="233">
        <f t="shared" si="20"/>
        <v>0</v>
      </c>
      <c r="N156" s="234">
        <f t="shared" si="20"/>
        <v>0</v>
      </c>
    </row>
    <row r="157" spans="1:14" ht="12.75">
      <c r="A157" s="29"/>
      <c r="B157" s="264">
        <f>'Excerpt WDH'!B41</f>
        <v>9</v>
      </c>
      <c r="C157" s="232">
        <f t="shared" si="20"/>
        <v>272265240</v>
      </c>
      <c r="D157" s="233">
        <f t="shared" si="20"/>
        <v>572726700</v>
      </c>
      <c r="E157" s="233">
        <f t="shared" si="20"/>
        <v>310962960</v>
      </c>
      <c r="F157" s="233">
        <f t="shared" si="20"/>
        <v>0</v>
      </c>
      <c r="G157" s="233">
        <f t="shared" si="20"/>
        <v>0</v>
      </c>
      <c r="H157" s="233">
        <f t="shared" si="20"/>
        <v>0</v>
      </c>
      <c r="I157" s="233">
        <f t="shared" si="20"/>
        <v>0</v>
      </c>
      <c r="J157" s="233">
        <f t="shared" si="20"/>
        <v>0</v>
      </c>
      <c r="K157" s="233">
        <f t="shared" si="20"/>
        <v>0</v>
      </c>
      <c r="L157" s="233">
        <f t="shared" si="20"/>
        <v>0</v>
      </c>
      <c r="M157" s="233">
        <f t="shared" si="20"/>
        <v>0</v>
      </c>
      <c r="N157" s="234">
        <f t="shared" si="20"/>
        <v>0</v>
      </c>
    </row>
    <row r="158" spans="1:14" ht="12.75">
      <c r="A158" s="29"/>
      <c r="B158" s="264">
        <f>'Excerpt WDH'!B42</f>
        <v>8</v>
      </c>
      <c r="C158" s="232">
        <f t="shared" si="20"/>
        <v>455593280</v>
      </c>
      <c r="D158" s="233">
        <f t="shared" si="20"/>
        <v>602398944</v>
      </c>
      <c r="E158" s="233">
        <f t="shared" si="20"/>
        <v>585041225</v>
      </c>
      <c r="F158" s="233">
        <f t="shared" si="20"/>
        <v>0</v>
      </c>
      <c r="G158" s="233">
        <f t="shared" si="20"/>
        <v>0</v>
      </c>
      <c r="H158" s="233">
        <f t="shared" si="20"/>
        <v>0</v>
      </c>
      <c r="I158" s="233">
        <f t="shared" si="20"/>
        <v>0</v>
      </c>
      <c r="J158" s="233">
        <f t="shared" si="20"/>
        <v>0</v>
      </c>
      <c r="K158" s="233">
        <f t="shared" si="20"/>
        <v>0</v>
      </c>
      <c r="L158" s="233">
        <f t="shared" si="20"/>
        <v>0</v>
      </c>
      <c r="M158" s="233">
        <f t="shared" si="20"/>
        <v>0</v>
      </c>
      <c r="N158" s="234">
        <f t="shared" si="20"/>
        <v>0</v>
      </c>
    </row>
    <row r="159" spans="1:14" ht="12.75">
      <c r="A159" s="29"/>
      <c r="B159" s="264">
        <f>'Excerpt WDH'!B43</f>
        <v>7</v>
      </c>
      <c r="C159" s="232">
        <f t="shared" si="20"/>
        <v>160611220</v>
      </c>
      <c r="D159" s="233">
        <f t="shared" si="20"/>
        <v>459863379</v>
      </c>
      <c r="E159" s="233">
        <f t="shared" si="20"/>
        <v>233667672</v>
      </c>
      <c r="F159" s="233">
        <f t="shared" si="20"/>
        <v>0</v>
      </c>
      <c r="G159" s="233">
        <f t="shared" si="20"/>
        <v>0</v>
      </c>
      <c r="H159" s="233">
        <f t="shared" si="20"/>
        <v>0</v>
      </c>
      <c r="I159" s="233">
        <f t="shared" si="20"/>
        <v>0</v>
      </c>
      <c r="J159" s="233">
        <f t="shared" si="20"/>
        <v>0</v>
      </c>
      <c r="K159" s="233">
        <f t="shared" si="20"/>
        <v>0</v>
      </c>
      <c r="L159" s="233">
        <f t="shared" si="20"/>
        <v>0</v>
      </c>
      <c r="M159" s="233">
        <f t="shared" si="20"/>
        <v>0</v>
      </c>
      <c r="N159" s="234">
        <f t="shared" si="20"/>
        <v>0</v>
      </c>
    </row>
    <row r="160" spans="1:14" ht="12.75">
      <c r="A160" s="29"/>
      <c r="B160" s="264">
        <f>'Excerpt WDH'!B44</f>
        <v>6</v>
      </c>
      <c r="C160" s="232">
        <f t="shared" si="20"/>
        <v>31441830</v>
      </c>
      <c r="D160" s="233">
        <f t="shared" si="20"/>
        <v>127004540</v>
      </c>
      <c r="E160" s="233">
        <f t="shared" si="20"/>
        <v>54308520</v>
      </c>
      <c r="F160" s="233">
        <f t="shared" si="20"/>
        <v>0</v>
      </c>
      <c r="G160" s="233">
        <f t="shared" si="20"/>
        <v>0</v>
      </c>
      <c r="H160" s="233">
        <f t="shared" si="20"/>
        <v>0</v>
      </c>
      <c r="I160" s="233">
        <f t="shared" si="20"/>
        <v>0</v>
      </c>
      <c r="J160" s="233">
        <f t="shared" si="20"/>
        <v>0</v>
      </c>
      <c r="K160" s="233">
        <f t="shared" si="20"/>
        <v>0</v>
      </c>
      <c r="L160" s="233">
        <f t="shared" si="20"/>
        <v>0</v>
      </c>
      <c r="M160" s="233">
        <f t="shared" si="20"/>
        <v>0</v>
      </c>
      <c r="N160" s="234">
        <f t="shared" si="20"/>
        <v>0</v>
      </c>
    </row>
    <row r="161" spans="1:14" ht="12.75">
      <c r="A161" s="29"/>
      <c r="B161" s="264">
        <f>'Excerpt WDH'!B45</f>
        <v>5</v>
      </c>
      <c r="C161" s="232">
        <f t="shared" si="20"/>
        <v>8928000</v>
      </c>
      <c r="D161" s="233">
        <f t="shared" si="20"/>
        <v>109499148</v>
      </c>
      <c r="E161" s="233">
        <f t="shared" si="20"/>
        <v>9065226</v>
      </c>
      <c r="F161" s="233">
        <f t="shared" si="20"/>
        <v>0</v>
      </c>
      <c r="G161" s="233">
        <f t="shared" si="20"/>
        <v>0</v>
      </c>
      <c r="H161" s="233">
        <f t="shared" si="20"/>
        <v>0</v>
      </c>
      <c r="I161" s="233">
        <f t="shared" si="20"/>
        <v>0</v>
      </c>
      <c r="J161" s="233">
        <f t="shared" si="20"/>
        <v>0</v>
      </c>
      <c r="K161" s="233">
        <f t="shared" si="20"/>
        <v>0</v>
      </c>
      <c r="L161" s="233">
        <f t="shared" si="20"/>
        <v>0</v>
      </c>
      <c r="M161" s="233">
        <f t="shared" si="20"/>
        <v>0</v>
      </c>
      <c r="N161" s="234">
        <f t="shared" si="20"/>
        <v>0</v>
      </c>
    </row>
    <row r="162" spans="1:14" ht="12.75">
      <c r="A162" s="29"/>
      <c r="B162" s="264">
        <f>'Excerpt WDH'!B46</f>
        <v>4</v>
      </c>
      <c r="C162" s="232">
        <f t="shared" si="20"/>
        <v>974928</v>
      </c>
      <c r="D162" s="233">
        <f t="shared" si="20"/>
        <v>21718440</v>
      </c>
      <c r="E162" s="233">
        <f t="shared" si="20"/>
        <v>1082400</v>
      </c>
      <c r="F162" s="233">
        <f t="shared" si="20"/>
        <v>0</v>
      </c>
      <c r="G162" s="233">
        <f t="shared" si="20"/>
        <v>0</v>
      </c>
      <c r="H162" s="233">
        <f t="shared" si="20"/>
        <v>0</v>
      </c>
      <c r="I162" s="233">
        <f t="shared" si="20"/>
        <v>0</v>
      </c>
      <c r="J162" s="233">
        <f t="shared" si="20"/>
        <v>0</v>
      </c>
      <c r="K162" s="233">
        <f t="shared" si="20"/>
        <v>0</v>
      </c>
      <c r="L162" s="233">
        <f t="shared" si="20"/>
        <v>0</v>
      </c>
      <c r="M162" s="233">
        <f t="shared" si="20"/>
        <v>0</v>
      </c>
      <c r="N162" s="234">
        <f t="shared" si="20"/>
        <v>0</v>
      </c>
    </row>
    <row r="163" spans="1:14" ht="12.75">
      <c r="A163" s="29"/>
      <c r="B163" s="264">
        <f>'Excerpt WDH'!B47</f>
        <v>3</v>
      </c>
      <c r="C163" s="232">
        <f t="shared" si="20"/>
        <v>419640</v>
      </c>
      <c r="D163" s="233">
        <f t="shared" si="20"/>
        <v>6580152</v>
      </c>
      <c r="E163" s="233">
        <f t="shared" si="20"/>
        <v>176757</v>
      </c>
      <c r="F163" s="233">
        <f t="shared" si="20"/>
        <v>0</v>
      </c>
      <c r="G163" s="233">
        <f t="shared" si="20"/>
        <v>0</v>
      </c>
      <c r="H163" s="233">
        <f t="shared" si="20"/>
        <v>0</v>
      </c>
      <c r="I163" s="233">
        <f t="shared" si="20"/>
        <v>0</v>
      </c>
      <c r="J163" s="233">
        <f t="shared" si="20"/>
        <v>0</v>
      </c>
      <c r="K163" s="233">
        <f t="shared" si="20"/>
        <v>0</v>
      </c>
      <c r="L163" s="233">
        <f t="shared" si="20"/>
        <v>0</v>
      </c>
      <c r="M163" s="233">
        <f t="shared" si="20"/>
        <v>0</v>
      </c>
      <c r="N163" s="234">
        <f t="shared" si="20"/>
        <v>0</v>
      </c>
    </row>
    <row r="164" spans="1:14" ht="12.75">
      <c r="A164" s="29"/>
      <c r="B164" s="264">
        <f>'Excerpt WDH'!B48</f>
        <v>2</v>
      </c>
      <c r="C164" s="232">
        <f t="shared" si="20"/>
        <v>116424</v>
      </c>
      <c r="D164" s="233">
        <f t="shared" si="20"/>
        <v>4393732</v>
      </c>
      <c r="E164" s="233">
        <f t="shared" si="20"/>
        <v>171270</v>
      </c>
      <c r="F164" s="233">
        <f t="shared" si="20"/>
        <v>0</v>
      </c>
      <c r="G164" s="233">
        <f t="shared" si="20"/>
        <v>0</v>
      </c>
      <c r="H164" s="233">
        <f t="shared" si="20"/>
        <v>0</v>
      </c>
      <c r="I164" s="233">
        <f t="shared" si="20"/>
        <v>0</v>
      </c>
      <c r="J164" s="233">
        <f t="shared" si="20"/>
        <v>0</v>
      </c>
      <c r="K164" s="233">
        <f t="shared" si="20"/>
        <v>0</v>
      </c>
      <c r="L164" s="233">
        <f t="shared" si="20"/>
        <v>0</v>
      </c>
      <c r="M164" s="233">
        <f t="shared" si="20"/>
        <v>0</v>
      </c>
      <c r="N164" s="234">
        <f t="shared" si="20"/>
        <v>0</v>
      </c>
    </row>
    <row r="165" spans="1:14" ht="12.75">
      <c r="A165" s="29"/>
      <c r="B165" s="264">
        <f>'Excerpt WDH'!B49</f>
        <v>1</v>
      </c>
      <c r="C165" s="232">
        <f t="shared" si="20"/>
        <v>12964</v>
      </c>
      <c r="D165" s="233">
        <f t="shared" si="20"/>
        <v>4423700</v>
      </c>
      <c r="E165" s="233">
        <f t="shared" si="20"/>
        <v>0</v>
      </c>
      <c r="F165" s="233">
        <f t="shared" si="20"/>
        <v>0</v>
      </c>
      <c r="G165" s="233">
        <f t="shared" si="20"/>
        <v>0</v>
      </c>
      <c r="H165" s="233">
        <f t="shared" si="20"/>
        <v>0</v>
      </c>
      <c r="I165" s="233">
        <f t="shared" si="20"/>
        <v>0</v>
      </c>
      <c r="J165" s="233">
        <f t="shared" si="20"/>
        <v>0</v>
      </c>
      <c r="K165" s="233">
        <f t="shared" si="20"/>
        <v>0</v>
      </c>
      <c r="L165" s="233">
        <f t="shared" si="20"/>
        <v>0</v>
      </c>
      <c r="M165" s="233">
        <f t="shared" si="20"/>
        <v>0</v>
      </c>
      <c r="N165" s="234">
        <f t="shared" si="20"/>
        <v>0</v>
      </c>
    </row>
    <row r="166" spans="1:14" ht="13.5" thickBot="1">
      <c r="A166" s="29"/>
      <c r="B166" s="264">
        <f>'Excerpt WDH'!B50</f>
        <v>0</v>
      </c>
      <c r="C166" s="235">
        <f t="shared" si="20"/>
        <v>0</v>
      </c>
      <c r="D166" s="236">
        <f t="shared" si="20"/>
        <v>4403488</v>
      </c>
      <c r="E166" s="236">
        <f t="shared" si="20"/>
        <v>0</v>
      </c>
      <c r="F166" s="236">
        <f t="shared" si="20"/>
        <v>0</v>
      </c>
      <c r="G166" s="236">
        <f t="shared" si="20"/>
        <v>0</v>
      </c>
      <c r="H166" s="236">
        <f t="shared" si="20"/>
        <v>0</v>
      </c>
      <c r="I166" s="236">
        <f t="shared" si="20"/>
        <v>0</v>
      </c>
      <c r="J166" s="236">
        <f t="shared" si="20"/>
        <v>0</v>
      </c>
      <c r="K166" s="236">
        <f t="shared" si="20"/>
        <v>0</v>
      </c>
      <c r="L166" s="236">
        <f t="shared" si="20"/>
        <v>0</v>
      </c>
      <c r="M166" s="236">
        <f t="shared" si="20"/>
        <v>0</v>
      </c>
      <c r="N166" s="237">
        <f t="shared" si="20"/>
        <v>0</v>
      </c>
    </row>
    <row r="167" spans="1:17" ht="12.75">
      <c r="A167" s="29"/>
      <c r="B167" t="s">
        <v>85</v>
      </c>
      <c r="E167" s="367">
        <f>SUM(C155:N166)</f>
        <v>4379967812</v>
      </c>
      <c r="F167" s="364"/>
      <c r="G167" s="364"/>
      <c r="P167" s="126"/>
      <c r="Q167" s="159"/>
    </row>
    <row r="169" spans="1:5" ht="13.5" thickBot="1">
      <c r="A169" s="25" t="s">
        <v>129</v>
      </c>
      <c r="E169" t="s">
        <v>134</v>
      </c>
    </row>
    <row r="170" spans="1:14" ht="13.5" thickBot="1">
      <c r="A170" s="29"/>
      <c r="B170" s="30"/>
      <c r="C170" s="31">
        <v>1</v>
      </c>
      <c r="D170" s="32">
        <f aca="true" t="shared" si="21" ref="D170:N170">C170+1</f>
        <v>2</v>
      </c>
      <c r="E170" s="32">
        <f t="shared" si="21"/>
        <v>3</v>
      </c>
      <c r="F170" s="32">
        <f t="shared" si="21"/>
        <v>4</v>
      </c>
      <c r="G170" s="32">
        <f t="shared" si="21"/>
        <v>5</v>
      </c>
      <c r="H170" s="32">
        <f t="shared" si="21"/>
        <v>6</v>
      </c>
      <c r="I170" s="32">
        <f t="shared" si="21"/>
        <v>7</v>
      </c>
      <c r="J170" s="32">
        <f t="shared" si="21"/>
        <v>8</v>
      </c>
      <c r="K170" s="32">
        <f t="shared" si="21"/>
        <v>9</v>
      </c>
      <c r="L170" s="32">
        <f t="shared" si="21"/>
        <v>10</v>
      </c>
      <c r="M170" s="32">
        <f t="shared" si="21"/>
        <v>11</v>
      </c>
      <c r="N170" s="33">
        <f t="shared" si="21"/>
        <v>12</v>
      </c>
    </row>
    <row r="171" spans="1:14" ht="12.75">
      <c r="A171" s="29"/>
      <c r="B171" s="264">
        <f>'Excerpt WDH'!B39</f>
      </c>
      <c r="C171" s="311">
        <f aca="true" t="shared" si="22" ref="C171:N182">C9*($Q$34*C27-$Q$32*C42)*($Q$34*C27-$Q$32*C42)</f>
        <v>0</v>
      </c>
      <c r="D171" s="312">
        <f t="shared" si="22"/>
        <v>0</v>
      </c>
      <c r="E171" s="312">
        <f t="shared" si="22"/>
        <v>0</v>
      </c>
      <c r="F171" s="312">
        <f t="shared" si="22"/>
        <v>0</v>
      </c>
      <c r="G171" s="312">
        <f t="shared" si="22"/>
        <v>0</v>
      </c>
      <c r="H171" s="312">
        <f t="shared" si="22"/>
        <v>0</v>
      </c>
      <c r="I171" s="312">
        <f t="shared" si="22"/>
        <v>0</v>
      </c>
      <c r="J171" s="312">
        <f t="shared" si="22"/>
        <v>0</v>
      </c>
      <c r="K171" s="312">
        <f t="shared" si="22"/>
        <v>0</v>
      </c>
      <c r="L171" s="312">
        <f t="shared" si="22"/>
        <v>0</v>
      </c>
      <c r="M171" s="312">
        <f t="shared" si="22"/>
        <v>0</v>
      </c>
      <c r="N171" s="313">
        <f t="shared" si="22"/>
        <v>0</v>
      </c>
    </row>
    <row r="172" spans="1:14" ht="12.75">
      <c r="A172" s="29"/>
      <c r="B172" s="264">
        <f>'Excerpt WDH'!B40</f>
        <v>10</v>
      </c>
      <c r="C172" s="314">
        <f t="shared" si="22"/>
        <v>1.4489745057421445E+22</v>
      </c>
      <c r="D172" s="315">
        <f t="shared" si="22"/>
        <v>85122001243613260</v>
      </c>
      <c r="E172" s="315">
        <f t="shared" si="22"/>
        <v>1.0652331645542483E+22</v>
      </c>
      <c r="F172" s="315">
        <f t="shared" si="22"/>
        <v>0</v>
      </c>
      <c r="G172" s="315">
        <f t="shared" si="22"/>
        <v>0</v>
      </c>
      <c r="H172" s="315">
        <f t="shared" si="22"/>
        <v>0</v>
      </c>
      <c r="I172" s="315">
        <f t="shared" si="22"/>
        <v>0</v>
      </c>
      <c r="J172" s="315">
        <f t="shared" si="22"/>
        <v>0</v>
      </c>
      <c r="K172" s="315">
        <f t="shared" si="22"/>
        <v>0</v>
      </c>
      <c r="L172" s="315">
        <f t="shared" si="22"/>
        <v>0</v>
      </c>
      <c r="M172" s="315">
        <f t="shared" si="22"/>
        <v>0</v>
      </c>
      <c r="N172" s="316">
        <f t="shared" si="22"/>
        <v>0</v>
      </c>
    </row>
    <row r="173" spans="1:14" ht="12.75">
      <c r="A173" s="29"/>
      <c r="B173" s="264">
        <f>'Excerpt WDH'!B41</f>
        <v>9</v>
      </c>
      <c r="C173" s="314">
        <f t="shared" si="22"/>
        <v>6.261362819875018E+21</v>
      </c>
      <c r="D173" s="315">
        <f t="shared" si="22"/>
        <v>5.541180706149394E+19</v>
      </c>
      <c r="E173" s="315">
        <f t="shared" si="22"/>
        <v>7.079662339289048E+21</v>
      </c>
      <c r="F173" s="315">
        <f t="shared" si="22"/>
        <v>0</v>
      </c>
      <c r="G173" s="315">
        <f t="shared" si="22"/>
        <v>0</v>
      </c>
      <c r="H173" s="315">
        <f t="shared" si="22"/>
        <v>0</v>
      </c>
      <c r="I173" s="315">
        <f t="shared" si="22"/>
        <v>0</v>
      </c>
      <c r="J173" s="315">
        <f t="shared" si="22"/>
        <v>0</v>
      </c>
      <c r="K173" s="315">
        <f t="shared" si="22"/>
        <v>0</v>
      </c>
      <c r="L173" s="315">
        <f t="shared" si="22"/>
        <v>0</v>
      </c>
      <c r="M173" s="315">
        <f t="shared" si="22"/>
        <v>0</v>
      </c>
      <c r="N173" s="316">
        <f t="shared" si="22"/>
        <v>0</v>
      </c>
    </row>
    <row r="174" spans="1:14" ht="12.75">
      <c r="A174" s="29"/>
      <c r="B174" s="264">
        <f>'Excerpt WDH'!B42</f>
        <v>8</v>
      </c>
      <c r="C174" s="314">
        <f t="shared" si="22"/>
        <v>5.8588927665232767E+20</v>
      </c>
      <c r="D174" s="315">
        <f t="shared" si="22"/>
        <v>1.6760598452090893E+18</v>
      </c>
      <c r="E174" s="315">
        <f t="shared" si="22"/>
        <v>2.588989358724247E+20</v>
      </c>
      <c r="F174" s="315">
        <f t="shared" si="22"/>
        <v>0</v>
      </c>
      <c r="G174" s="315">
        <f t="shared" si="22"/>
        <v>0</v>
      </c>
      <c r="H174" s="315">
        <f t="shared" si="22"/>
        <v>0</v>
      </c>
      <c r="I174" s="315">
        <f t="shared" si="22"/>
        <v>0</v>
      </c>
      <c r="J174" s="315">
        <f t="shared" si="22"/>
        <v>0</v>
      </c>
      <c r="K174" s="315">
        <f t="shared" si="22"/>
        <v>0</v>
      </c>
      <c r="L174" s="315">
        <f t="shared" si="22"/>
        <v>0</v>
      </c>
      <c r="M174" s="315">
        <f t="shared" si="22"/>
        <v>0</v>
      </c>
      <c r="N174" s="316">
        <f t="shared" si="22"/>
        <v>0</v>
      </c>
    </row>
    <row r="175" spans="1:14" ht="12.75">
      <c r="A175" s="29"/>
      <c r="B175" s="264">
        <f>'Excerpt WDH'!B43</f>
        <v>7</v>
      </c>
      <c r="C175" s="314">
        <f t="shared" si="22"/>
        <v>8.65266873372577E+21</v>
      </c>
      <c r="D175" s="315">
        <f t="shared" si="22"/>
        <v>1.4350697249992586E+20</v>
      </c>
      <c r="E175" s="315">
        <f t="shared" si="22"/>
        <v>7.623541923146058E+21</v>
      </c>
      <c r="F175" s="315">
        <f t="shared" si="22"/>
        <v>0</v>
      </c>
      <c r="G175" s="315">
        <f t="shared" si="22"/>
        <v>0</v>
      </c>
      <c r="H175" s="315">
        <f t="shared" si="22"/>
        <v>0</v>
      </c>
      <c r="I175" s="315">
        <f t="shared" si="22"/>
        <v>0</v>
      </c>
      <c r="J175" s="315">
        <f t="shared" si="22"/>
        <v>0</v>
      </c>
      <c r="K175" s="315">
        <f t="shared" si="22"/>
        <v>0</v>
      </c>
      <c r="L175" s="315">
        <f t="shared" si="22"/>
        <v>0</v>
      </c>
      <c r="M175" s="315">
        <f t="shared" si="22"/>
        <v>0</v>
      </c>
      <c r="N175" s="316">
        <f t="shared" si="22"/>
        <v>0</v>
      </c>
    </row>
    <row r="176" spans="1:14" ht="12.75">
      <c r="A176" s="29"/>
      <c r="B176" s="264">
        <f>'Excerpt WDH'!B44</f>
        <v>6</v>
      </c>
      <c r="C176" s="314">
        <f t="shared" si="22"/>
        <v>5.449485012530919E+21</v>
      </c>
      <c r="D176" s="315">
        <f t="shared" si="22"/>
        <v>8.432072438408706E+19</v>
      </c>
      <c r="E176" s="315">
        <f t="shared" si="22"/>
        <v>4.693578700972953E+21</v>
      </c>
      <c r="F176" s="315">
        <f t="shared" si="22"/>
        <v>0</v>
      </c>
      <c r="G176" s="315">
        <f t="shared" si="22"/>
        <v>0</v>
      </c>
      <c r="H176" s="315">
        <f t="shared" si="22"/>
        <v>0</v>
      </c>
      <c r="I176" s="315">
        <f t="shared" si="22"/>
        <v>0</v>
      </c>
      <c r="J176" s="315">
        <f t="shared" si="22"/>
        <v>0</v>
      </c>
      <c r="K176" s="315">
        <f t="shared" si="22"/>
        <v>0</v>
      </c>
      <c r="L176" s="315">
        <f t="shared" si="22"/>
        <v>0</v>
      </c>
      <c r="M176" s="315">
        <f t="shared" si="22"/>
        <v>0</v>
      </c>
      <c r="N176" s="316">
        <f t="shared" si="22"/>
        <v>0</v>
      </c>
    </row>
    <row r="177" spans="1:14" ht="12.75">
      <c r="A177" s="29"/>
      <c r="B177" s="264">
        <f>'Excerpt WDH'!B45</f>
        <v>5</v>
      </c>
      <c r="C177" s="314">
        <f t="shared" si="22"/>
        <v>6.415378262897775E+21</v>
      </c>
      <c r="D177" s="315">
        <f t="shared" si="22"/>
        <v>7.63343511007374E+19</v>
      </c>
      <c r="E177" s="315">
        <f t="shared" si="22"/>
        <v>2.925668324339814E+21</v>
      </c>
      <c r="F177" s="315">
        <f t="shared" si="22"/>
        <v>0</v>
      </c>
      <c r="G177" s="315">
        <f t="shared" si="22"/>
        <v>0</v>
      </c>
      <c r="H177" s="315">
        <f t="shared" si="22"/>
        <v>0</v>
      </c>
      <c r="I177" s="315">
        <f t="shared" si="22"/>
        <v>0</v>
      </c>
      <c r="J177" s="315">
        <f t="shared" si="22"/>
        <v>0</v>
      </c>
      <c r="K177" s="315">
        <f t="shared" si="22"/>
        <v>0</v>
      </c>
      <c r="L177" s="315">
        <f t="shared" si="22"/>
        <v>0</v>
      </c>
      <c r="M177" s="315">
        <f t="shared" si="22"/>
        <v>0</v>
      </c>
      <c r="N177" s="316">
        <f t="shared" si="22"/>
        <v>0</v>
      </c>
    </row>
    <row r="178" spans="1:14" ht="12.75">
      <c r="A178" s="29"/>
      <c r="B178" s="264">
        <f>'Excerpt WDH'!B46</f>
        <v>4</v>
      </c>
      <c r="C178" s="314">
        <f t="shared" si="22"/>
        <v>1.543849892916138E+21</v>
      </c>
      <c r="D178" s="315">
        <f t="shared" si="22"/>
        <v>1.3120945427060382E+19</v>
      </c>
      <c r="E178" s="315">
        <f t="shared" si="22"/>
        <v>6.752364634563107E+20</v>
      </c>
      <c r="F178" s="315">
        <f t="shared" si="22"/>
        <v>0</v>
      </c>
      <c r="G178" s="315">
        <f t="shared" si="22"/>
        <v>0</v>
      </c>
      <c r="H178" s="315">
        <f t="shared" si="22"/>
        <v>0</v>
      </c>
      <c r="I178" s="315">
        <f t="shared" si="22"/>
        <v>0</v>
      </c>
      <c r="J178" s="315">
        <f t="shared" si="22"/>
        <v>0</v>
      </c>
      <c r="K178" s="315">
        <f t="shared" si="22"/>
        <v>0</v>
      </c>
      <c r="L178" s="315">
        <f t="shared" si="22"/>
        <v>0</v>
      </c>
      <c r="M178" s="315">
        <f t="shared" si="22"/>
        <v>0</v>
      </c>
      <c r="N178" s="316">
        <f t="shared" si="22"/>
        <v>0</v>
      </c>
    </row>
    <row r="179" spans="1:14" ht="12.75">
      <c r="A179" s="29"/>
      <c r="B179" s="264">
        <f>'Excerpt WDH'!B47</f>
        <v>3</v>
      </c>
      <c r="C179" s="314">
        <f t="shared" si="22"/>
        <v>9.80711331991024E+20</v>
      </c>
      <c r="D179" s="315">
        <f t="shared" si="22"/>
        <v>3.7297135411895675E+18</v>
      </c>
      <c r="E179" s="315">
        <f t="shared" si="22"/>
        <v>1.8922431930209973E+20</v>
      </c>
      <c r="F179" s="315">
        <f t="shared" si="22"/>
        <v>0</v>
      </c>
      <c r="G179" s="315">
        <f t="shared" si="22"/>
        <v>0</v>
      </c>
      <c r="H179" s="315">
        <f t="shared" si="22"/>
        <v>0</v>
      </c>
      <c r="I179" s="315">
        <f t="shared" si="22"/>
        <v>0</v>
      </c>
      <c r="J179" s="315">
        <f t="shared" si="22"/>
        <v>0</v>
      </c>
      <c r="K179" s="315">
        <f t="shared" si="22"/>
        <v>0</v>
      </c>
      <c r="L179" s="315">
        <f t="shared" si="22"/>
        <v>0</v>
      </c>
      <c r="M179" s="315">
        <f t="shared" si="22"/>
        <v>0</v>
      </c>
      <c r="N179" s="316">
        <f t="shared" si="22"/>
        <v>0</v>
      </c>
    </row>
    <row r="180" spans="1:14" ht="12.75">
      <c r="A180" s="29"/>
      <c r="B180" s="264">
        <f>'Excerpt WDH'!B48</f>
        <v>2</v>
      </c>
      <c r="C180" s="314">
        <f t="shared" si="22"/>
        <v>5.927758362485145E+20</v>
      </c>
      <c r="D180" s="315">
        <f t="shared" si="22"/>
        <v>2.388734867121063E+18</v>
      </c>
      <c r="E180" s="315">
        <f t="shared" si="22"/>
        <v>3.200102673623571E+20</v>
      </c>
      <c r="F180" s="315">
        <f t="shared" si="22"/>
        <v>0</v>
      </c>
      <c r="G180" s="315">
        <f t="shared" si="22"/>
        <v>0</v>
      </c>
      <c r="H180" s="315">
        <f t="shared" si="22"/>
        <v>0</v>
      </c>
      <c r="I180" s="315">
        <f t="shared" si="22"/>
        <v>0</v>
      </c>
      <c r="J180" s="315">
        <f t="shared" si="22"/>
        <v>0</v>
      </c>
      <c r="K180" s="315">
        <f t="shared" si="22"/>
        <v>0</v>
      </c>
      <c r="L180" s="315">
        <f t="shared" si="22"/>
        <v>0</v>
      </c>
      <c r="M180" s="315">
        <f t="shared" si="22"/>
        <v>0</v>
      </c>
      <c r="N180" s="316">
        <f t="shared" si="22"/>
        <v>0</v>
      </c>
    </row>
    <row r="181" spans="1:14" ht="12.75">
      <c r="A181" s="29"/>
      <c r="B181" s="264">
        <f>'Excerpt WDH'!B49</f>
        <v>1</v>
      </c>
      <c r="C181" s="314">
        <f t="shared" si="22"/>
        <v>9.932761544832872E+19</v>
      </c>
      <c r="D181" s="315">
        <f t="shared" si="22"/>
        <v>2.3749117248994125E+18</v>
      </c>
      <c r="E181" s="315">
        <f t="shared" si="22"/>
        <v>0</v>
      </c>
      <c r="F181" s="315">
        <f t="shared" si="22"/>
        <v>0</v>
      </c>
      <c r="G181" s="315">
        <f t="shared" si="22"/>
        <v>0</v>
      </c>
      <c r="H181" s="315">
        <f t="shared" si="22"/>
        <v>0</v>
      </c>
      <c r="I181" s="315">
        <f t="shared" si="22"/>
        <v>0</v>
      </c>
      <c r="J181" s="315">
        <f t="shared" si="22"/>
        <v>0</v>
      </c>
      <c r="K181" s="315">
        <f t="shared" si="22"/>
        <v>0</v>
      </c>
      <c r="L181" s="315">
        <f t="shared" si="22"/>
        <v>0</v>
      </c>
      <c r="M181" s="315">
        <f t="shared" si="22"/>
        <v>0</v>
      </c>
      <c r="N181" s="316">
        <f t="shared" si="22"/>
        <v>0</v>
      </c>
    </row>
    <row r="182" spans="1:14" ht="13.5" thickBot="1">
      <c r="A182" s="29"/>
      <c r="B182" s="264">
        <f>'Excerpt WDH'!B50</f>
        <v>0</v>
      </c>
      <c r="C182" s="317">
        <f t="shared" si="22"/>
        <v>5.979378257126938E+20</v>
      </c>
      <c r="D182" s="318">
        <f t="shared" si="22"/>
        <v>2.3061567758377907E+18</v>
      </c>
      <c r="E182" s="318">
        <f t="shared" si="22"/>
        <v>1.3000357972195313E+20</v>
      </c>
      <c r="F182" s="318">
        <f t="shared" si="22"/>
        <v>0</v>
      </c>
      <c r="G182" s="318">
        <f t="shared" si="22"/>
        <v>0</v>
      </c>
      <c r="H182" s="318">
        <f t="shared" si="22"/>
        <v>0</v>
      </c>
      <c r="I182" s="318">
        <f t="shared" si="22"/>
        <v>0</v>
      </c>
      <c r="J182" s="318">
        <f t="shared" si="22"/>
        <v>0</v>
      </c>
      <c r="K182" s="318">
        <f t="shared" si="22"/>
        <v>0</v>
      </c>
      <c r="L182" s="318">
        <f t="shared" si="22"/>
        <v>0</v>
      </c>
      <c r="M182" s="318">
        <f t="shared" si="22"/>
        <v>0</v>
      </c>
      <c r="N182" s="319">
        <f t="shared" si="22"/>
        <v>0</v>
      </c>
    </row>
    <row r="183" spans="1:16" ht="12.75">
      <c r="A183" s="29"/>
      <c r="B183" t="s">
        <v>85</v>
      </c>
      <c r="E183" s="367">
        <f>SUM(C171:N182)</f>
        <v>8.060254366365425E+22</v>
      </c>
      <c r="F183" s="364"/>
      <c r="G183" s="364"/>
      <c r="I183" s="155" t="s">
        <v>189</v>
      </c>
      <c r="J183" s="373">
        <f>SUM(C171:N182)</f>
        <v>8.060254366365425E+22</v>
      </c>
      <c r="K183" s="368"/>
      <c r="P183" s="126"/>
    </row>
    <row r="184" spans="1:17" ht="12.75">
      <c r="A184" s="29"/>
      <c r="E184" s="163"/>
      <c r="P184" s="126"/>
      <c r="Q184" s="159"/>
    </row>
    <row r="185" spans="1:17" ht="12.75">
      <c r="A185" s="29"/>
      <c r="H185" s="126" t="s">
        <v>133</v>
      </c>
      <c r="I185" s="133">
        <f>(2/((Q32+Q34)*(Q32+Q34)))*(SQRT(E183))</f>
        <v>0.01773555829080421</v>
      </c>
      <c r="P185" s="126"/>
      <c r="Q185" s="159"/>
    </row>
    <row r="187" ht="13.5" thickBot="1">
      <c r="A187" s="74" t="s">
        <v>101</v>
      </c>
    </row>
    <row r="188" spans="1:14" ht="13.5" thickBot="1">
      <c r="A188" s="29"/>
      <c r="B188" s="30"/>
      <c r="C188" s="31">
        <v>1</v>
      </c>
      <c r="D188" s="32">
        <f aca="true" t="shared" si="23" ref="D188:N188">C188+1</f>
        <v>2</v>
      </c>
      <c r="E188" s="32">
        <f t="shared" si="23"/>
        <v>3</v>
      </c>
      <c r="F188" s="32">
        <f t="shared" si="23"/>
        <v>4</v>
      </c>
      <c r="G188" s="32">
        <f t="shared" si="23"/>
        <v>5</v>
      </c>
      <c r="H188" s="32">
        <f t="shared" si="23"/>
        <v>6</v>
      </c>
      <c r="I188" s="32">
        <f t="shared" si="23"/>
        <v>7</v>
      </c>
      <c r="J188" s="32">
        <f t="shared" si="23"/>
        <v>8</v>
      </c>
      <c r="K188" s="32">
        <f t="shared" si="23"/>
        <v>9</v>
      </c>
      <c r="L188" s="32">
        <f t="shared" si="23"/>
        <v>10</v>
      </c>
      <c r="M188" s="32">
        <f t="shared" si="23"/>
        <v>11</v>
      </c>
      <c r="N188" s="33">
        <f t="shared" si="23"/>
        <v>12</v>
      </c>
    </row>
    <row r="189" spans="1:14" ht="12.75">
      <c r="A189" s="29"/>
      <c r="B189" s="264">
        <f>'Excerpt WDH'!B39</f>
      </c>
      <c r="C189" s="311">
        <f>C9*((C27-C42)*$Q$23-2*(Statistics!$E$10-Statistics!$E$11)*($O$21-C$21))*((C27-C42)*$Q$23-2*(Statistics!$E$10-Statistics!$E$11)*($O$21-C$21))</f>
        <v>0</v>
      </c>
      <c r="D189" s="312">
        <f>D9*((D27-D42)*$Q$23-2*(Statistics!$E$10-Statistics!$E$11)*($O$21-D$21))*((D27-D42)*$Q$23-2*(Statistics!$E$10-Statistics!$E$11)*($O$21-D$21))</f>
        <v>0</v>
      </c>
      <c r="E189" s="312">
        <f>E9*((E27-E42)*$Q$23-2*(Statistics!$E$10-Statistics!$E$11)*($O$21-E$21))*((E27-E42)*$Q$23-2*(Statistics!$E$10-Statistics!$E$11)*($O$21-E$21))</f>
        <v>0</v>
      </c>
      <c r="F189" s="312">
        <f>F9*((F27-F42)*$Q$23-2*(Statistics!$E$10-Statistics!$E$11)*($O$21-F$21))*((F27-F42)*$Q$23-2*(Statistics!$E$10-Statistics!$E$11)*($O$21-F$21))</f>
        <v>0</v>
      </c>
      <c r="G189" s="312">
        <f>G9*((G27-G42)*$Q$23-2*(Statistics!$E$10-Statistics!$E$11)*($O$21-G$21))*((G27-G42)*$Q$23-2*(Statistics!$E$10-Statistics!$E$11)*($O$21-G$21))</f>
        <v>0</v>
      </c>
      <c r="H189" s="312">
        <f>H9*((H27-H42)*$Q$23-2*(Statistics!$E$10-Statistics!$E$11)*($O$21-H$21))*((H27-H42)*$Q$23-2*(Statistics!$E$10-Statistics!$E$11)*($O$21-H$21))</f>
        <v>0</v>
      </c>
      <c r="I189" s="312">
        <f>I9*((I27-I42)*$Q$23-2*(Statistics!$E$10-Statistics!$E$11)*($O$21-I$21))*((I27-I42)*$Q$23-2*(Statistics!$E$10-Statistics!$E$11)*($O$21-I$21))</f>
        <v>0</v>
      </c>
      <c r="J189" s="312">
        <f>J9*((J27-J42)*$Q$23-2*(Statistics!$E$10-Statistics!$E$11)*($O$21-J$21))*((J27-J42)*$Q$23-2*(Statistics!$E$10-Statistics!$E$11)*($O$21-J$21))</f>
        <v>0</v>
      </c>
      <c r="K189" s="312">
        <f>K9*((K27-K42)*$Q$23-2*(Statistics!$E$10-Statistics!$E$11)*($O$21-K$21))*((K27-K42)*$Q$23-2*(Statistics!$E$10-Statistics!$E$11)*($O$21-K$21))</f>
        <v>0</v>
      </c>
      <c r="L189" s="312">
        <f>L9*((L27-L42)*$Q$23-2*(Statistics!$E$10-Statistics!$E$11)*($O$21-L$21))*((L27-L42)*$Q$23-2*(Statistics!$E$10-Statistics!$E$11)*($O$21-L$21))</f>
        <v>0</v>
      </c>
      <c r="M189" s="312">
        <f>M9*((M27-M42)*$Q$23-2*(Statistics!$E$10-Statistics!$E$11)*($O$21-M$21))*((M27-M42)*$Q$23-2*(Statistics!$E$10-Statistics!$E$11)*($O$21-M$21))</f>
        <v>0</v>
      </c>
      <c r="N189" s="313">
        <f>N9*((N27-N42)*$Q$23-2*(Statistics!$E$10-Statistics!$E$11)*($O$21-N$21))*((N27-N42)*$Q$23-2*(Statistics!$E$10-Statistics!$E$11)*($O$21-N$21))</f>
        <v>0</v>
      </c>
    </row>
    <row r="190" spans="1:14" ht="12.75">
      <c r="A190" s="29"/>
      <c r="B190" s="264">
        <f>'Excerpt WDH'!B40</f>
        <v>10</v>
      </c>
      <c r="C190" s="314">
        <f>C10*((C28-C43)*$Q$23-2*(Statistics!$E$10-Statistics!$E$11)*($O$21-C$21))*((C28-C43)*$Q$23-2*(Statistics!$E$10-Statistics!$E$11)*($O$21-C$21))</f>
        <v>3.9287482181653454E+23</v>
      </c>
      <c r="D190" s="315">
        <f>D10*((D28-D43)*$Q$23-2*(Statistics!$E$10-Statistics!$E$11)*($O$21-D$21))*((D28-D43)*$Q$23-2*(Statistics!$E$10-Statistics!$E$11)*($O$21-D$21))</f>
        <v>8.949435432684006E+18</v>
      </c>
      <c r="E190" s="315">
        <f>E10*((E28-E43)*$Q$23-2*(Statistics!$E$10-Statistics!$E$11)*($O$21-E$21))*((E28-E43)*$Q$23-2*(Statistics!$E$10-Statistics!$E$11)*($O$21-E$21))</f>
        <v>2.7826969357150722E+23</v>
      </c>
      <c r="F190" s="315">
        <f>F10*((F28-F43)*$Q$23-2*(Statistics!$E$10-Statistics!$E$11)*($O$21-F$21))*((F28-F43)*$Q$23-2*(Statistics!$E$10-Statistics!$E$11)*($O$21-F$21))</f>
        <v>0</v>
      </c>
      <c r="G190" s="315">
        <f>G10*((G28-G43)*$Q$23-2*(Statistics!$E$10-Statistics!$E$11)*($O$21-G$21))*((G28-G43)*$Q$23-2*(Statistics!$E$10-Statistics!$E$11)*($O$21-G$21))</f>
        <v>0</v>
      </c>
      <c r="H190" s="315">
        <f>H10*((H28-H43)*$Q$23-2*(Statistics!$E$10-Statistics!$E$11)*($O$21-H$21))*((H28-H43)*$Q$23-2*(Statistics!$E$10-Statistics!$E$11)*($O$21-H$21))</f>
        <v>0</v>
      </c>
      <c r="I190" s="315">
        <f>I10*((I28-I43)*$Q$23-2*(Statistics!$E$10-Statistics!$E$11)*($O$21-I$21))*((I28-I43)*$Q$23-2*(Statistics!$E$10-Statistics!$E$11)*($O$21-I$21))</f>
        <v>0</v>
      </c>
      <c r="J190" s="315">
        <f>J10*((J28-J43)*$Q$23-2*(Statistics!$E$10-Statistics!$E$11)*($O$21-J$21))*((J28-J43)*$Q$23-2*(Statistics!$E$10-Statistics!$E$11)*($O$21-J$21))</f>
        <v>0</v>
      </c>
      <c r="K190" s="315">
        <f>K10*((K28-K43)*$Q$23-2*(Statistics!$E$10-Statistics!$E$11)*($O$21-K$21))*((K28-K43)*$Q$23-2*(Statistics!$E$10-Statistics!$E$11)*($O$21-K$21))</f>
        <v>0</v>
      </c>
      <c r="L190" s="315">
        <f>L10*((L28-L43)*$Q$23-2*(Statistics!$E$10-Statistics!$E$11)*($O$21-L$21))*((L28-L43)*$Q$23-2*(Statistics!$E$10-Statistics!$E$11)*($O$21-L$21))</f>
        <v>0</v>
      </c>
      <c r="M190" s="315">
        <f>M10*((M28-M43)*$Q$23-2*(Statistics!$E$10-Statistics!$E$11)*($O$21-M$21))*((M28-M43)*$Q$23-2*(Statistics!$E$10-Statistics!$E$11)*($O$21-M$21))</f>
        <v>0</v>
      </c>
      <c r="N190" s="316">
        <f>N10*((N28-N43)*$Q$23-2*(Statistics!$E$10-Statistics!$E$11)*($O$21-N$21))*((N28-N43)*$Q$23-2*(Statistics!$E$10-Statistics!$E$11)*($O$21-N$21))</f>
        <v>0</v>
      </c>
    </row>
    <row r="191" spans="1:14" ht="12.75">
      <c r="A191" s="29"/>
      <c r="B191" s="264">
        <f>'Excerpt WDH'!B41</f>
        <v>9</v>
      </c>
      <c r="C191" s="314">
        <f>C11*((C29-C44)*$Q$23-2*(Statistics!$E$10-Statistics!$E$11)*($O$21-C$21))*((C29-C44)*$Q$23-2*(Statistics!$E$10-Statistics!$E$11)*($O$21-C$21))</f>
        <v>1.6410932050771932E+23</v>
      </c>
      <c r="D191" s="315">
        <f>D11*((D29-D44)*$Q$23-2*(Statistics!$E$10-Statistics!$E$11)*($O$21-D$21))*((D29-D44)*$Q$23-2*(Statistics!$E$10-Statistics!$E$11)*($O$21-D$21))</f>
        <v>1.3690714703304044E+21</v>
      </c>
      <c r="E191" s="315">
        <f>E11*((E29-E44)*$Q$23-2*(Statistics!$E$10-Statistics!$E$11)*($O$21-E$21))*((E29-E44)*$Q$23-2*(Statistics!$E$10-Statistics!$E$11)*($O$21-E$21))</f>
        <v>1.8986306300268843E+23</v>
      </c>
      <c r="F191" s="315">
        <f>F11*((F29-F44)*$Q$23-2*(Statistics!$E$10-Statistics!$E$11)*($O$21-F$21))*((F29-F44)*$Q$23-2*(Statistics!$E$10-Statistics!$E$11)*($O$21-F$21))</f>
        <v>0</v>
      </c>
      <c r="G191" s="315">
        <f>G11*((G29-G44)*$Q$23-2*(Statistics!$E$10-Statistics!$E$11)*($O$21-G$21))*((G29-G44)*$Q$23-2*(Statistics!$E$10-Statistics!$E$11)*($O$21-G$21))</f>
        <v>0</v>
      </c>
      <c r="H191" s="315">
        <f>H11*((H29-H44)*$Q$23-2*(Statistics!$E$10-Statistics!$E$11)*($O$21-H$21))*((H29-H44)*$Q$23-2*(Statistics!$E$10-Statistics!$E$11)*($O$21-H$21))</f>
        <v>0</v>
      </c>
      <c r="I191" s="315">
        <f>I11*((I29-I44)*$Q$23-2*(Statistics!$E$10-Statistics!$E$11)*($O$21-I$21))*((I29-I44)*$Q$23-2*(Statistics!$E$10-Statistics!$E$11)*($O$21-I$21))</f>
        <v>0</v>
      </c>
      <c r="J191" s="315">
        <f>J11*((J29-J44)*$Q$23-2*(Statistics!$E$10-Statistics!$E$11)*($O$21-J$21))*((J29-J44)*$Q$23-2*(Statistics!$E$10-Statistics!$E$11)*($O$21-J$21))</f>
        <v>0</v>
      </c>
      <c r="K191" s="315">
        <f>K11*((K29-K44)*$Q$23-2*(Statistics!$E$10-Statistics!$E$11)*($O$21-K$21))*((K29-K44)*$Q$23-2*(Statistics!$E$10-Statistics!$E$11)*($O$21-K$21))</f>
        <v>0</v>
      </c>
      <c r="L191" s="315">
        <f>L11*((L29-L44)*$Q$23-2*(Statistics!$E$10-Statistics!$E$11)*($O$21-L$21))*((L29-L44)*$Q$23-2*(Statistics!$E$10-Statistics!$E$11)*($O$21-L$21))</f>
        <v>0</v>
      </c>
      <c r="M191" s="315">
        <f>M11*((M29-M44)*$Q$23-2*(Statistics!$E$10-Statistics!$E$11)*($O$21-M$21))*((M29-M44)*$Q$23-2*(Statistics!$E$10-Statistics!$E$11)*($O$21-M$21))</f>
        <v>0</v>
      </c>
      <c r="N191" s="316">
        <f>N11*((N29-N44)*$Q$23-2*(Statistics!$E$10-Statistics!$E$11)*($O$21-N$21))*((N29-N44)*$Q$23-2*(Statistics!$E$10-Statistics!$E$11)*($O$21-N$21))</f>
        <v>0</v>
      </c>
    </row>
    <row r="192" spans="1:14" ht="12.75">
      <c r="A192" s="29"/>
      <c r="B192" s="264">
        <f>'Excerpt WDH'!B42</f>
        <v>8</v>
      </c>
      <c r="C192" s="314">
        <f>C12*((C30-C45)*$Q$23-2*(Statistics!$E$10-Statistics!$E$11)*($O$21-C$21))*((C30-C45)*$Q$23-2*(Statistics!$E$10-Statistics!$E$11)*($O$21-C$21))</f>
        <v>1.8206219385892625E+22</v>
      </c>
      <c r="D192" s="315">
        <f>D12*((D30-D45)*$Q$23-2*(Statistics!$E$10-Statistics!$E$11)*($O$21-D$21))*((D30-D45)*$Q$23-2*(Statistics!$E$10-Statistics!$E$11)*($O$21-D$21))</f>
        <v>4.271368813193426E+18</v>
      </c>
      <c r="E192" s="315">
        <f>E12*((E30-E45)*$Q$23-2*(Statistics!$E$10-Statistics!$E$11)*($O$21-E$21))*((E30-E45)*$Q$23-2*(Statistics!$E$10-Statistics!$E$11)*($O$21-E$21))</f>
        <v>5.465382852512419E+21</v>
      </c>
      <c r="F192" s="315">
        <f>F12*((F30-F45)*$Q$23-2*(Statistics!$E$10-Statistics!$E$11)*($O$21-F$21))*((F30-F45)*$Q$23-2*(Statistics!$E$10-Statistics!$E$11)*($O$21-F$21))</f>
        <v>0</v>
      </c>
      <c r="G192" s="315">
        <f>G12*((G30-G45)*$Q$23-2*(Statistics!$E$10-Statistics!$E$11)*($O$21-G$21))*((G30-G45)*$Q$23-2*(Statistics!$E$10-Statistics!$E$11)*($O$21-G$21))</f>
        <v>0</v>
      </c>
      <c r="H192" s="315">
        <f>H12*((H30-H45)*$Q$23-2*(Statistics!$E$10-Statistics!$E$11)*($O$21-H$21))*((H30-H45)*$Q$23-2*(Statistics!$E$10-Statistics!$E$11)*($O$21-H$21))</f>
        <v>0</v>
      </c>
      <c r="I192" s="315">
        <f>I12*((I30-I45)*$Q$23-2*(Statistics!$E$10-Statistics!$E$11)*($O$21-I$21))*((I30-I45)*$Q$23-2*(Statistics!$E$10-Statistics!$E$11)*($O$21-I$21))</f>
        <v>0</v>
      </c>
      <c r="J192" s="315">
        <f>J12*((J30-J45)*$Q$23-2*(Statistics!$E$10-Statistics!$E$11)*($O$21-J$21))*((J30-J45)*$Q$23-2*(Statistics!$E$10-Statistics!$E$11)*($O$21-J$21))</f>
        <v>0</v>
      </c>
      <c r="K192" s="315">
        <f>K12*((K30-K45)*$Q$23-2*(Statistics!$E$10-Statistics!$E$11)*($O$21-K$21))*((K30-K45)*$Q$23-2*(Statistics!$E$10-Statistics!$E$11)*($O$21-K$21))</f>
        <v>0</v>
      </c>
      <c r="L192" s="315">
        <f>L12*((L30-L45)*$Q$23-2*(Statistics!$E$10-Statistics!$E$11)*($O$21-L$21))*((L30-L45)*$Q$23-2*(Statistics!$E$10-Statistics!$E$11)*($O$21-L$21))</f>
        <v>0</v>
      </c>
      <c r="M192" s="315">
        <f>M12*((M30-M45)*$Q$23-2*(Statistics!$E$10-Statistics!$E$11)*($O$21-M$21))*((M30-M45)*$Q$23-2*(Statistics!$E$10-Statistics!$E$11)*($O$21-M$21))</f>
        <v>0</v>
      </c>
      <c r="N192" s="316">
        <f>N12*((N30-N45)*$Q$23-2*(Statistics!$E$10-Statistics!$E$11)*($O$21-N$21))*((N30-N45)*$Q$23-2*(Statistics!$E$10-Statistics!$E$11)*($O$21-N$21))</f>
        <v>0</v>
      </c>
    </row>
    <row r="193" spans="1:14" ht="12.75">
      <c r="A193" s="29"/>
      <c r="B193" s="264">
        <f>'Excerpt WDH'!B43</f>
        <v>7</v>
      </c>
      <c r="C193" s="314">
        <f>C13*((C31-C46)*$Q$23-2*(Statistics!$E$10-Statistics!$E$11)*($O$21-C$21))*((C31-C46)*$Q$23-2*(Statistics!$E$10-Statistics!$E$11)*($O$21-C$21))</f>
        <v>2.2739631459041587E+23</v>
      </c>
      <c r="D193" s="315">
        <f>D13*((D31-D46)*$Q$23-2*(Statistics!$E$10-Statistics!$E$11)*($O$21-D$21))*((D31-D46)*$Q$23-2*(Statistics!$E$10-Statistics!$E$11)*($O$21-D$21))</f>
        <v>3.460353199252908E+21</v>
      </c>
      <c r="E193" s="315">
        <f>E13*((E31-E46)*$Q$23-2*(Statistics!$E$10-Statistics!$E$11)*($O$21-E$21))*((E31-E46)*$Q$23-2*(Statistics!$E$10-Statistics!$E$11)*($O$21-E$21))</f>
        <v>2.053721919667337E+23</v>
      </c>
      <c r="F193" s="315">
        <f>F13*((F31-F46)*$Q$23-2*(Statistics!$E$10-Statistics!$E$11)*($O$21-F$21))*((F31-F46)*$Q$23-2*(Statistics!$E$10-Statistics!$E$11)*($O$21-F$21))</f>
        <v>0</v>
      </c>
      <c r="G193" s="315">
        <f>G13*((G31-G46)*$Q$23-2*(Statistics!$E$10-Statistics!$E$11)*($O$21-G$21))*((G31-G46)*$Q$23-2*(Statistics!$E$10-Statistics!$E$11)*($O$21-G$21))</f>
        <v>0</v>
      </c>
      <c r="H193" s="315">
        <f>H13*((H31-H46)*$Q$23-2*(Statistics!$E$10-Statistics!$E$11)*($O$21-H$21))*((H31-H46)*$Q$23-2*(Statistics!$E$10-Statistics!$E$11)*($O$21-H$21))</f>
        <v>0</v>
      </c>
      <c r="I193" s="315">
        <f>I13*((I31-I46)*$Q$23-2*(Statistics!$E$10-Statistics!$E$11)*($O$21-I$21))*((I31-I46)*$Q$23-2*(Statistics!$E$10-Statistics!$E$11)*($O$21-I$21))</f>
        <v>0</v>
      </c>
      <c r="J193" s="315">
        <f>J13*((J31-J46)*$Q$23-2*(Statistics!$E$10-Statistics!$E$11)*($O$21-J$21))*((J31-J46)*$Q$23-2*(Statistics!$E$10-Statistics!$E$11)*($O$21-J$21))</f>
        <v>0</v>
      </c>
      <c r="K193" s="315">
        <f>K13*((K31-K46)*$Q$23-2*(Statistics!$E$10-Statistics!$E$11)*($O$21-K$21))*((K31-K46)*$Q$23-2*(Statistics!$E$10-Statistics!$E$11)*($O$21-K$21))</f>
        <v>0</v>
      </c>
      <c r="L193" s="315">
        <f>L13*((L31-L46)*$Q$23-2*(Statistics!$E$10-Statistics!$E$11)*($O$21-L$21))*((L31-L46)*$Q$23-2*(Statistics!$E$10-Statistics!$E$11)*($O$21-L$21))</f>
        <v>0</v>
      </c>
      <c r="M193" s="315">
        <f>M13*((M31-M46)*$Q$23-2*(Statistics!$E$10-Statistics!$E$11)*($O$21-M$21))*((M31-M46)*$Q$23-2*(Statistics!$E$10-Statistics!$E$11)*($O$21-M$21))</f>
        <v>0</v>
      </c>
      <c r="N193" s="316">
        <f>N13*((N31-N46)*$Q$23-2*(Statistics!$E$10-Statistics!$E$11)*($O$21-N$21))*((N31-N46)*$Q$23-2*(Statistics!$E$10-Statistics!$E$11)*($O$21-N$21))</f>
        <v>0</v>
      </c>
    </row>
    <row r="194" spans="1:14" ht="12.75">
      <c r="A194" s="29"/>
      <c r="B194" s="264">
        <f>'Excerpt WDH'!B44</f>
        <v>6</v>
      </c>
      <c r="C194" s="314">
        <f>C14*((C32-C47)*$Q$23-2*(Statistics!$E$10-Statistics!$E$11)*($O$21-C$21))*((C32-C47)*$Q$23-2*(Statistics!$E$10-Statistics!$E$11)*($O$21-C$21))</f>
        <v>1.3974827050810202E+23</v>
      </c>
      <c r="D194" s="315">
        <f>D14*((D32-D47)*$Q$23-2*(Statistics!$E$10-Statistics!$E$11)*($O$21-D$21))*((D32-D47)*$Q$23-2*(Statistics!$E$10-Statistics!$E$11)*($O$21-D$21))</f>
        <v>1.7841180784099415E+21</v>
      </c>
      <c r="E194" s="315">
        <f>E14*((E32-E47)*$Q$23-2*(Statistics!$E$10-Statistics!$E$11)*($O$21-E$21))*((E32-E47)*$Q$23-2*(Statistics!$E$10-Statistics!$E$11)*($O$21-E$21))</f>
        <v>1.2953700914245069E+23</v>
      </c>
      <c r="F194" s="315">
        <f>F14*((F32-F47)*$Q$23-2*(Statistics!$E$10-Statistics!$E$11)*($O$21-F$21))*((F32-F47)*$Q$23-2*(Statistics!$E$10-Statistics!$E$11)*($O$21-F$21))</f>
        <v>0</v>
      </c>
      <c r="G194" s="315">
        <f>G14*((G32-G47)*$Q$23-2*(Statistics!$E$10-Statistics!$E$11)*($O$21-G$21))*((G32-G47)*$Q$23-2*(Statistics!$E$10-Statistics!$E$11)*($O$21-G$21))</f>
        <v>0</v>
      </c>
      <c r="H194" s="315">
        <f>H14*((H32-H47)*$Q$23-2*(Statistics!$E$10-Statistics!$E$11)*($O$21-H$21))*((H32-H47)*$Q$23-2*(Statistics!$E$10-Statistics!$E$11)*($O$21-H$21))</f>
        <v>0</v>
      </c>
      <c r="I194" s="315">
        <f>I14*((I32-I47)*$Q$23-2*(Statistics!$E$10-Statistics!$E$11)*($O$21-I$21))*((I32-I47)*$Q$23-2*(Statistics!$E$10-Statistics!$E$11)*($O$21-I$21))</f>
        <v>0</v>
      </c>
      <c r="J194" s="315">
        <f>J14*((J32-J47)*$Q$23-2*(Statistics!$E$10-Statistics!$E$11)*($O$21-J$21))*((J32-J47)*$Q$23-2*(Statistics!$E$10-Statistics!$E$11)*($O$21-J$21))</f>
        <v>0</v>
      </c>
      <c r="K194" s="315">
        <f>K14*((K32-K47)*$Q$23-2*(Statistics!$E$10-Statistics!$E$11)*($O$21-K$21))*((K32-K47)*$Q$23-2*(Statistics!$E$10-Statistics!$E$11)*($O$21-K$21))</f>
        <v>0</v>
      </c>
      <c r="L194" s="315">
        <f>L14*((L32-L47)*$Q$23-2*(Statistics!$E$10-Statistics!$E$11)*($O$21-L$21))*((L32-L47)*$Q$23-2*(Statistics!$E$10-Statistics!$E$11)*($O$21-L$21))</f>
        <v>0</v>
      </c>
      <c r="M194" s="315">
        <f>M14*((M32-M47)*$Q$23-2*(Statistics!$E$10-Statistics!$E$11)*($O$21-M$21))*((M32-M47)*$Q$23-2*(Statistics!$E$10-Statistics!$E$11)*($O$21-M$21))</f>
        <v>0</v>
      </c>
      <c r="N194" s="316">
        <f>N14*((N32-N47)*$Q$23-2*(Statistics!$E$10-Statistics!$E$11)*($O$21-N$21))*((N32-N47)*$Q$23-2*(Statistics!$E$10-Statistics!$E$11)*($O$21-N$21))</f>
        <v>0</v>
      </c>
    </row>
    <row r="195" spans="1:14" ht="12.75">
      <c r="A195" s="29"/>
      <c r="B195" s="264">
        <f>'Excerpt WDH'!B45</f>
        <v>5</v>
      </c>
      <c r="C195" s="314">
        <f>C15*((C33-C48)*$Q$23-2*(Statistics!$E$10-Statistics!$E$11)*($O$21-C$21))*((C33-C48)*$Q$23-2*(Statistics!$E$10-Statistics!$E$11)*($O$21-C$21))</f>
        <v>1.64413599700447E+23</v>
      </c>
      <c r="D195" s="315">
        <f>D15*((D33-D48)*$Q$23-2*(Statistics!$E$10-Statistics!$E$11)*($O$21-D$21))*((D33-D48)*$Q$23-2*(Statistics!$E$10-Statistics!$E$11)*($O$21-D$21))</f>
        <v>1.5912152262174266E+21</v>
      </c>
      <c r="E195" s="315">
        <f>E15*((E33-E48)*$Q$23-2*(Statistics!$E$10-Statistics!$E$11)*($O$21-E$21))*((E33-E48)*$Q$23-2*(Statistics!$E$10-Statistics!$E$11)*($O$21-E$21))</f>
        <v>8.047834287079098E+22</v>
      </c>
      <c r="F195" s="315">
        <f>F15*((F33-F48)*$Q$23-2*(Statistics!$E$10-Statistics!$E$11)*($O$21-F$21))*((F33-F48)*$Q$23-2*(Statistics!$E$10-Statistics!$E$11)*($O$21-F$21))</f>
        <v>0</v>
      </c>
      <c r="G195" s="315">
        <f>G15*((G33-G48)*$Q$23-2*(Statistics!$E$10-Statistics!$E$11)*($O$21-G$21))*((G33-G48)*$Q$23-2*(Statistics!$E$10-Statistics!$E$11)*($O$21-G$21))</f>
        <v>0</v>
      </c>
      <c r="H195" s="315">
        <f>H15*((H33-H48)*$Q$23-2*(Statistics!$E$10-Statistics!$E$11)*($O$21-H$21))*((H33-H48)*$Q$23-2*(Statistics!$E$10-Statistics!$E$11)*($O$21-H$21))</f>
        <v>0</v>
      </c>
      <c r="I195" s="315">
        <f>I15*((I33-I48)*$Q$23-2*(Statistics!$E$10-Statistics!$E$11)*($O$21-I$21))*((I33-I48)*$Q$23-2*(Statistics!$E$10-Statistics!$E$11)*($O$21-I$21))</f>
        <v>0</v>
      </c>
      <c r="J195" s="315">
        <f>J15*((J33-J48)*$Q$23-2*(Statistics!$E$10-Statistics!$E$11)*($O$21-J$21))*((J33-J48)*$Q$23-2*(Statistics!$E$10-Statistics!$E$11)*($O$21-J$21))</f>
        <v>0</v>
      </c>
      <c r="K195" s="315">
        <f>K15*((K33-K48)*$Q$23-2*(Statistics!$E$10-Statistics!$E$11)*($O$21-K$21))*((K33-K48)*$Q$23-2*(Statistics!$E$10-Statistics!$E$11)*($O$21-K$21))</f>
        <v>0</v>
      </c>
      <c r="L195" s="315">
        <f>L15*((L33-L48)*$Q$23-2*(Statistics!$E$10-Statistics!$E$11)*($O$21-L$21))*((L33-L48)*$Q$23-2*(Statistics!$E$10-Statistics!$E$11)*($O$21-L$21))</f>
        <v>0</v>
      </c>
      <c r="M195" s="315">
        <f>M15*((M33-M48)*$Q$23-2*(Statistics!$E$10-Statistics!$E$11)*($O$21-M$21))*((M33-M48)*$Q$23-2*(Statistics!$E$10-Statistics!$E$11)*($O$21-M$21))</f>
        <v>0</v>
      </c>
      <c r="N195" s="316">
        <f>N15*((N33-N48)*$Q$23-2*(Statistics!$E$10-Statistics!$E$11)*($O$21-N$21))*((N33-N48)*$Q$23-2*(Statistics!$E$10-Statistics!$E$11)*($O$21-N$21))</f>
        <v>0</v>
      </c>
    </row>
    <row r="196" spans="1:14" ht="12.75">
      <c r="A196" s="29"/>
      <c r="B196" s="264">
        <f>'Excerpt WDH'!B46</f>
        <v>4</v>
      </c>
      <c r="C196" s="314">
        <f>C16*((C34-C49)*$Q$23-2*(Statistics!$E$10-Statistics!$E$11)*($O$21-C$21))*((C34-C49)*$Q$23-2*(Statistics!$E$10-Statistics!$E$11)*($O$21-C$21))</f>
        <v>3.944156737989868E+22</v>
      </c>
      <c r="D196" s="315">
        <f>D16*((D34-D49)*$Q$23-2*(Statistics!$E$10-Statistics!$E$11)*($O$21-D$21))*((D34-D49)*$Q$23-2*(Statistics!$E$10-Statistics!$E$11)*($O$21-D$21))</f>
        <v>2.5795562125010515E+20</v>
      </c>
      <c r="E196" s="315">
        <f>E16*((E34-E49)*$Q$23-2*(Statistics!$E$10-Statistics!$E$11)*($O$21-E$21))*((E34-E49)*$Q$23-2*(Statistics!$E$10-Statistics!$E$11)*($O$21-E$21))</f>
        <v>1.8654048075242258E+22</v>
      </c>
      <c r="F196" s="315">
        <f>F16*((F34-F49)*$Q$23-2*(Statistics!$E$10-Statistics!$E$11)*($O$21-F$21))*((F34-F49)*$Q$23-2*(Statistics!$E$10-Statistics!$E$11)*($O$21-F$21))</f>
        <v>0</v>
      </c>
      <c r="G196" s="315">
        <f>G16*((G34-G49)*$Q$23-2*(Statistics!$E$10-Statistics!$E$11)*($O$21-G$21))*((G34-G49)*$Q$23-2*(Statistics!$E$10-Statistics!$E$11)*($O$21-G$21))</f>
        <v>0</v>
      </c>
      <c r="H196" s="315">
        <f>H16*((H34-H49)*$Q$23-2*(Statistics!$E$10-Statistics!$E$11)*($O$21-H$21))*((H34-H49)*$Q$23-2*(Statistics!$E$10-Statistics!$E$11)*($O$21-H$21))</f>
        <v>0</v>
      </c>
      <c r="I196" s="315">
        <f>I16*((I34-I49)*$Q$23-2*(Statistics!$E$10-Statistics!$E$11)*($O$21-I$21))*((I34-I49)*$Q$23-2*(Statistics!$E$10-Statistics!$E$11)*($O$21-I$21))</f>
        <v>0</v>
      </c>
      <c r="J196" s="315">
        <f>J16*((J34-J49)*$Q$23-2*(Statistics!$E$10-Statistics!$E$11)*($O$21-J$21))*((J34-J49)*$Q$23-2*(Statistics!$E$10-Statistics!$E$11)*($O$21-J$21))</f>
        <v>0</v>
      </c>
      <c r="K196" s="315">
        <f>K16*((K34-K49)*$Q$23-2*(Statistics!$E$10-Statistics!$E$11)*($O$21-K$21))*((K34-K49)*$Q$23-2*(Statistics!$E$10-Statistics!$E$11)*($O$21-K$21))</f>
        <v>0</v>
      </c>
      <c r="L196" s="315">
        <f>L16*((L34-L49)*$Q$23-2*(Statistics!$E$10-Statistics!$E$11)*($O$21-L$21))*((L34-L49)*$Q$23-2*(Statistics!$E$10-Statistics!$E$11)*($O$21-L$21))</f>
        <v>0</v>
      </c>
      <c r="M196" s="315">
        <f>M16*((M34-M49)*$Q$23-2*(Statistics!$E$10-Statistics!$E$11)*($O$21-M$21))*((M34-M49)*$Q$23-2*(Statistics!$E$10-Statistics!$E$11)*($O$21-M$21))</f>
        <v>0</v>
      </c>
      <c r="N196" s="316">
        <f>N16*((N34-N49)*$Q$23-2*(Statistics!$E$10-Statistics!$E$11)*($O$21-N$21))*((N34-N49)*$Q$23-2*(Statistics!$E$10-Statistics!$E$11)*($O$21-N$21))</f>
        <v>0</v>
      </c>
    </row>
    <row r="197" spans="1:14" ht="12.75">
      <c r="A197" s="29"/>
      <c r="B197" s="264">
        <f>'Excerpt WDH'!B47</f>
        <v>3</v>
      </c>
      <c r="C197" s="314">
        <f>C17*((C35-C50)*$Q$23-2*(Statistics!$E$10-Statistics!$E$11)*($O$21-C$21))*((C35-C50)*$Q$23-2*(Statistics!$E$10-Statistics!$E$11)*($O$21-C$21))</f>
        <v>2.504286153738244E+22</v>
      </c>
      <c r="D197" s="315">
        <f>D17*((D35-D50)*$Q$23-2*(Statistics!$E$10-Statistics!$E$11)*($O$21-D$21))*((D35-D50)*$Q$23-2*(Statistics!$E$10-Statistics!$E$11)*($O$21-D$21))</f>
        <v>7.215430880575942E+19</v>
      </c>
      <c r="E197" s="315">
        <f>E17*((E35-E50)*$Q$23-2*(Statistics!$E$10-Statistics!$E$11)*($O$21-E$21))*((E35-E50)*$Q$23-2*(Statistics!$E$10-Statistics!$E$11)*($O$21-E$21))</f>
        <v>5.22872739222248E+21</v>
      </c>
      <c r="F197" s="315">
        <f>F17*((F35-F50)*$Q$23-2*(Statistics!$E$10-Statistics!$E$11)*($O$21-F$21))*((F35-F50)*$Q$23-2*(Statistics!$E$10-Statistics!$E$11)*($O$21-F$21))</f>
        <v>0</v>
      </c>
      <c r="G197" s="315">
        <f>G17*((G35-G50)*$Q$23-2*(Statistics!$E$10-Statistics!$E$11)*($O$21-G$21))*((G35-G50)*$Q$23-2*(Statistics!$E$10-Statistics!$E$11)*($O$21-G$21))</f>
        <v>0</v>
      </c>
      <c r="H197" s="315">
        <f>H17*((H35-H50)*$Q$23-2*(Statistics!$E$10-Statistics!$E$11)*($O$21-H$21))*((H35-H50)*$Q$23-2*(Statistics!$E$10-Statistics!$E$11)*($O$21-H$21))</f>
        <v>0</v>
      </c>
      <c r="I197" s="315">
        <f>I17*((I35-I50)*$Q$23-2*(Statistics!$E$10-Statistics!$E$11)*($O$21-I$21))*((I35-I50)*$Q$23-2*(Statistics!$E$10-Statistics!$E$11)*($O$21-I$21))</f>
        <v>0</v>
      </c>
      <c r="J197" s="315">
        <f>J17*((J35-J50)*$Q$23-2*(Statistics!$E$10-Statistics!$E$11)*($O$21-J$21))*((J35-J50)*$Q$23-2*(Statistics!$E$10-Statistics!$E$11)*($O$21-J$21))</f>
        <v>0</v>
      </c>
      <c r="K197" s="315">
        <f>K17*((K35-K50)*$Q$23-2*(Statistics!$E$10-Statistics!$E$11)*($O$21-K$21))*((K35-K50)*$Q$23-2*(Statistics!$E$10-Statistics!$E$11)*($O$21-K$21))</f>
        <v>0</v>
      </c>
      <c r="L197" s="315">
        <f>L17*((L35-L50)*$Q$23-2*(Statistics!$E$10-Statistics!$E$11)*($O$21-L$21))*((L35-L50)*$Q$23-2*(Statistics!$E$10-Statistics!$E$11)*($O$21-L$21))</f>
        <v>0</v>
      </c>
      <c r="M197" s="315">
        <f>M17*((M35-M50)*$Q$23-2*(Statistics!$E$10-Statistics!$E$11)*($O$21-M$21))*((M35-M50)*$Q$23-2*(Statistics!$E$10-Statistics!$E$11)*($O$21-M$21))</f>
        <v>0</v>
      </c>
      <c r="N197" s="316">
        <f>N17*((N35-N50)*$Q$23-2*(Statistics!$E$10-Statistics!$E$11)*($O$21-N$21))*((N35-N50)*$Q$23-2*(Statistics!$E$10-Statistics!$E$11)*($O$21-N$21))</f>
        <v>0</v>
      </c>
    </row>
    <row r="198" spans="1:14" ht="12.75">
      <c r="A198" s="29"/>
      <c r="B198" s="264">
        <f>'Excerpt WDH'!B48</f>
        <v>2</v>
      </c>
      <c r="C198" s="314">
        <f>C18*((C36-C51)*$Q$23-2*(Statistics!$E$10-Statistics!$E$11)*($O$21-C$21))*((C36-C51)*$Q$23-2*(Statistics!$E$10-Statistics!$E$11)*($O$21-C$21))</f>
        <v>1.513958857639862E+22</v>
      </c>
      <c r="D198" s="315">
        <f>D18*((D36-D51)*$Q$23-2*(Statistics!$E$10-Statistics!$E$11)*($O$21-D$21))*((D36-D51)*$Q$23-2*(Statistics!$E$10-Statistics!$E$11)*($O$21-D$21))</f>
        <v>4.5845199097421414E+19</v>
      </c>
      <c r="E198" s="315">
        <f>E18*((E36-E51)*$Q$23-2*(Statistics!$E$10-Statistics!$E$11)*($O$21-E$21))*((E36-E51)*$Q$23-2*(Statistics!$E$10-Statistics!$E$11)*($O$21-E$21))</f>
        <v>8.842652568944978E+21</v>
      </c>
      <c r="F198" s="315">
        <f>F18*((F36-F51)*$Q$23-2*(Statistics!$E$10-Statistics!$E$11)*($O$21-F$21))*((F36-F51)*$Q$23-2*(Statistics!$E$10-Statistics!$E$11)*($O$21-F$21))</f>
        <v>0</v>
      </c>
      <c r="G198" s="315">
        <f>G18*((G36-G51)*$Q$23-2*(Statistics!$E$10-Statistics!$E$11)*($O$21-G$21))*((G36-G51)*$Q$23-2*(Statistics!$E$10-Statistics!$E$11)*($O$21-G$21))</f>
        <v>0</v>
      </c>
      <c r="H198" s="315">
        <f>H18*((H36-H51)*$Q$23-2*(Statistics!$E$10-Statistics!$E$11)*($O$21-H$21))*((H36-H51)*$Q$23-2*(Statistics!$E$10-Statistics!$E$11)*($O$21-H$21))</f>
        <v>0</v>
      </c>
      <c r="I198" s="315">
        <f>I18*((I36-I51)*$Q$23-2*(Statistics!$E$10-Statistics!$E$11)*($O$21-I$21))*((I36-I51)*$Q$23-2*(Statistics!$E$10-Statistics!$E$11)*($O$21-I$21))</f>
        <v>0</v>
      </c>
      <c r="J198" s="315">
        <f>J18*((J36-J51)*$Q$23-2*(Statistics!$E$10-Statistics!$E$11)*($O$21-J$21))*((J36-J51)*$Q$23-2*(Statistics!$E$10-Statistics!$E$11)*($O$21-J$21))</f>
        <v>0</v>
      </c>
      <c r="K198" s="315">
        <f>K18*((K36-K51)*$Q$23-2*(Statistics!$E$10-Statistics!$E$11)*($O$21-K$21))*((K36-K51)*$Q$23-2*(Statistics!$E$10-Statistics!$E$11)*($O$21-K$21))</f>
        <v>0</v>
      </c>
      <c r="L198" s="315">
        <f>L18*((L36-L51)*$Q$23-2*(Statistics!$E$10-Statistics!$E$11)*($O$21-L$21))*((L36-L51)*$Q$23-2*(Statistics!$E$10-Statistics!$E$11)*($O$21-L$21))</f>
        <v>0</v>
      </c>
      <c r="M198" s="315">
        <f>M18*((M36-M51)*$Q$23-2*(Statistics!$E$10-Statistics!$E$11)*($O$21-M$21))*((M36-M51)*$Q$23-2*(Statistics!$E$10-Statistics!$E$11)*($O$21-M$21))</f>
        <v>0</v>
      </c>
      <c r="N198" s="316">
        <f>N18*((N36-N51)*$Q$23-2*(Statistics!$E$10-Statistics!$E$11)*($O$21-N$21))*((N36-N51)*$Q$23-2*(Statistics!$E$10-Statistics!$E$11)*($O$21-N$21))</f>
        <v>0</v>
      </c>
    </row>
    <row r="199" spans="1:14" ht="12.75">
      <c r="A199" s="29"/>
      <c r="B199" s="264">
        <f>'Excerpt WDH'!B49</f>
        <v>1</v>
      </c>
      <c r="C199" s="314">
        <f>C19*((C37-C52)*$Q$23-2*(Statistics!$E$10-Statistics!$E$11)*($O$21-C$21))*((C37-C52)*$Q$23-2*(Statistics!$E$10-Statistics!$E$11)*($O$21-C$21))</f>
        <v>2.536445768120248E+21</v>
      </c>
      <c r="D199" s="315">
        <f>D19*((D37-D52)*$Q$23-2*(Statistics!$E$10-Statistics!$E$11)*($O$21-D$21))*((D37-D52)*$Q$23-2*(Statistics!$E$10-Statistics!$E$11)*($O$21-D$21))</f>
        <v>4.528925920025194E+19</v>
      </c>
      <c r="E199" s="315">
        <f>E19*((E37-E52)*$Q$23-2*(Statistics!$E$10-Statistics!$E$11)*($O$21-E$21))*((E37-E52)*$Q$23-2*(Statistics!$E$10-Statistics!$E$11)*($O$21-E$21))</f>
        <v>0</v>
      </c>
      <c r="F199" s="315">
        <f>F19*((F37-F52)*$Q$23-2*(Statistics!$E$10-Statistics!$E$11)*($O$21-F$21))*((F37-F52)*$Q$23-2*(Statistics!$E$10-Statistics!$E$11)*($O$21-F$21))</f>
        <v>0</v>
      </c>
      <c r="G199" s="315">
        <f>G19*((G37-G52)*$Q$23-2*(Statistics!$E$10-Statistics!$E$11)*($O$21-G$21))*((G37-G52)*$Q$23-2*(Statistics!$E$10-Statistics!$E$11)*($O$21-G$21))</f>
        <v>0</v>
      </c>
      <c r="H199" s="315">
        <f>H19*((H37-H52)*$Q$23-2*(Statistics!$E$10-Statistics!$E$11)*($O$21-H$21))*((H37-H52)*$Q$23-2*(Statistics!$E$10-Statistics!$E$11)*($O$21-H$21))</f>
        <v>0</v>
      </c>
      <c r="I199" s="315">
        <f>I19*((I37-I52)*$Q$23-2*(Statistics!$E$10-Statistics!$E$11)*($O$21-I$21))*((I37-I52)*$Q$23-2*(Statistics!$E$10-Statistics!$E$11)*($O$21-I$21))</f>
        <v>0</v>
      </c>
      <c r="J199" s="315">
        <f>J19*((J37-J52)*$Q$23-2*(Statistics!$E$10-Statistics!$E$11)*($O$21-J$21))*((J37-J52)*$Q$23-2*(Statistics!$E$10-Statistics!$E$11)*($O$21-J$21))</f>
        <v>0</v>
      </c>
      <c r="K199" s="315">
        <f>K19*((K37-K52)*$Q$23-2*(Statistics!$E$10-Statistics!$E$11)*($O$21-K$21))*((K37-K52)*$Q$23-2*(Statistics!$E$10-Statistics!$E$11)*($O$21-K$21))</f>
        <v>0</v>
      </c>
      <c r="L199" s="315">
        <f>L19*((L37-L52)*$Q$23-2*(Statistics!$E$10-Statistics!$E$11)*($O$21-L$21))*((L37-L52)*$Q$23-2*(Statistics!$E$10-Statistics!$E$11)*($O$21-L$21))</f>
        <v>0</v>
      </c>
      <c r="M199" s="315">
        <f>M19*((M37-M52)*$Q$23-2*(Statistics!$E$10-Statistics!$E$11)*($O$21-M$21))*((M37-M52)*$Q$23-2*(Statistics!$E$10-Statistics!$E$11)*($O$21-M$21))</f>
        <v>0</v>
      </c>
      <c r="N199" s="316">
        <f>N19*((N37-N52)*$Q$23-2*(Statistics!$E$10-Statistics!$E$11)*($O$21-N$21))*((N37-N52)*$Q$23-2*(Statistics!$E$10-Statistics!$E$11)*($O$21-N$21))</f>
        <v>0</v>
      </c>
    </row>
    <row r="200" spans="1:14" ht="13.5" thickBot="1">
      <c r="A200" s="29"/>
      <c r="B200" s="264">
        <f>'Excerpt WDH'!B50</f>
        <v>0</v>
      </c>
      <c r="C200" s="317">
        <f>C20*((C38-C53)*$Q$23-2*(Statistics!$E$10-Statistics!$E$11)*($O$21-C$21))*((C38-C53)*$Q$23-2*(Statistics!$E$10-Statistics!$E$11)*($O$21-C$21))</f>
        <v>1.527151308951744E+22</v>
      </c>
      <c r="D200" s="318">
        <f>D20*((D38-D53)*$Q$23-2*(Statistics!$E$10-Statistics!$E$11)*($O$21-D$21))*((D38-D53)*$Q$23-2*(Statistics!$E$10-Statistics!$E$11)*($O$21-D$21))</f>
        <v>4.391424676717293E+19</v>
      </c>
      <c r="E200" s="318">
        <f>E20*((E38-E53)*$Q$23-2*(Statistics!$E$10-Statistics!$E$11)*($O$21-E$21))*((E38-E53)*$Q$23-2*(Statistics!$E$10-Statistics!$E$11)*($O$21-E$21))</f>
        <v>3.591144956682147E+21</v>
      </c>
      <c r="F200" s="318">
        <f>F20*((F38-F53)*$Q$23-2*(Statistics!$E$10-Statistics!$E$11)*($O$21-F$21))*((F38-F53)*$Q$23-2*(Statistics!$E$10-Statistics!$E$11)*($O$21-F$21))</f>
        <v>0</v>
      </c>
      <c r="G200" s="318">
        <f>G20*((G38-G53)*$Q$23-2*(Statistics!$E$10-Statistics!$E$11)*($O$21-G$21))*((G38-G53)*$Q$23-2*(Statistics!$E$10-Statistics!$E$11)*($O$21-G$21))</f>
        <v>0</v>
      </c>
      <c r="H200" s="318">
        <f>H20*((H38-H53)*$Q$23-2*(Statistics!$E$10-Statistics!$E$11)*($O$21-H$21))*((H38-H53)*$Q$23-2*(Statistics!$E$10-Statistics!$E$11)*($O$21-H$21))</f>
        <v>0</v>
      </c>
      <c r="I200" s="318">
        <f>I20*((I38-I53)*$Q$23-2*(Statistics!$E$10-Statistics!$E$11)*($O$21-I$21))*((I38-I53)*$Q$23-2*(Statistics!$E$10-Statistics!$E$11)*($O$21-I$21))</f>
        <v>0</v>
      </c>
      <c r="J200" s="318">
        <f>J20*((J38-J53)*$Q$23-2*(Statistics!$E$10-Statistics!$E$11)*($O$21-J$21))*((J38-J53)*$Q$23-2*(Statistics!$E$10-Statistics!$E$11)*($O$21-J$21))</f>
        <v>0</v>
      </c>
      <c r="K200" s="318">
        <f>K20*((K38-K53)*$Q$23-2*(Statistics!$E$10-Statistics!$E$11)*($O$21-K$21))*((K38-K53)*$Q$23-2*(Statistics!$E$10-Statistics!$E$11)*($O$21-K$21))</f>
        <v>0</v>
      </c>
      <c r="L200" s="318">
        <f>L20*((L38-L53)*$Q$23-2*(Statistics!$E$10-Statistics!$E$11)*($O$21-L$21))*((L38-L53)*$Q$23-2*(Statistics!$E$10-Statistics!$E$11)*($O$21-L$21))</f>
        <v>0</v>
      </c>
      <c r="M200" s="318">
        <f>M20*((M38-M53)*$Q$23-2*(Statistics!$E$10-Statistics!$E$11)*($O$21-M$21))*((M38-M53)*$Q$23-2*(Statistics!$E$10-Statistics!$E$11)*($O$21-M$21))</f>
        <v>0</v>
      </c>
      <c r="N200" s="319">
        <f>N20*((N38-N53)*$Q$23-2*(Statistics!$E$10-Statistics!$E$11)*($O$21-N$21))*((N38-N53)*$Q$23-2*(Statistics!$E$10-Statistics!$E$11)*($O$21-N$21))</f>
        <v>0</v>
      </c>
    </row>
    <row r="201" spans="1:16" ht="12.75">
      <c r="A201" s="29"/>
      <c r="B201" t="s">
        <v>85</v>
      </c>
      <c r="E201" s="367">
        <f>SUM(C189:N200)</f>
        <v>2.1381659166737814E+24</v>
      </c>
      <c r="F201" s="364"/>
      <c r="G201" s="364"/>
      <c r="I201" s="292" t="s">
        <v>189</v>
      </c>
      <c r="J201" s="373">
        <f>SUM(C189:N200)</f>
        <v>2.1381659166737814E+24</v>
      </c>
      <c r="K201" s="368"/>
      <c r="P201" s="126"/>
    </row>
    <row r="202" spans="8:9" ht="12.75">
      <c r="H202" s="126" t="s">
        <v>95</v>
      </c>
      <c r="I202" s="133">
        <f>(2/(Q23*Q23))*(SQRT(E201))</f>
        <v>0.013797282952129527</v>
      </c>
    </row>
    <row r="204" ht="13.5" thickBot="1">
      <c r="A204" s="74" t="s">
        <v>100</v>
      </c>
    </row>
    <row r="205" spans="1:14" ht="13.5" thickBot="1">
      <c r="A205" s="29"/>
      <c r="B205" s="30"/>
      <c r="C205" s="31">
        <v>1</v>
      </c>
      <c r="D205" s="32">
        <f aca="true" t="shared" si="24" ref="D205:N205">C205+1</f>
        <v>2</v>
      </c>
      <c r="E205" s="32">
        <f t="shared" si="24"/>
        <v>3</v>
      </c>
      <c r="F205" s="32">
        <f t="shared" si="24"/>
        <v>4</v>
      </c>
      <c r="G205" s="32">
        <f t="shared" si="24"/>
        <v>5</v>
      </c>
      <c r="H205" s="32">
        <f t="shared" si="24"/>
        <v>6</v>
      </c>
      <c r="I205" s="32">
        <f t="shared" si="24"/>
        <v>7</v>
      </c>
      <c r="J205" s="32">
        <f t="shared" si="24"/>
        <v>8</v>
      </c>
      <c r="K205" s="32">
        <f t="shared" si="24"/>
        <v>9</v>
      </c>
      <c r="L205" s="32">
        <f t="shared" si="24"/>
        <v>10</v>
      </c>
      <c r="M205" s="32">
        <f t="shared" si="24"/>
        <v>11</v>
      </c>
      <c r="N205" s="33">
        <f t="shared" si="24"/>
        <v>12</v>
      </c>
    </row>
    <row r="206" spans="1:14" ht="12.75">
      <c r="A206" s="29"/>
      <c r="B206" s="264">
        <f>'Excerpt WDH'!B39</f>
      </c>
      <c r="C206" s="293">
        <f>C9*((C27-C42)*$Q$22-2*(Statistics!$E$10-Statistics!$E$11)*($O$21-$O9))*((C27-C42)*$Q$22-2*(Statistics!$E$10-Statistics!$E$11)*($O$21-$O9))</f>
        <v>0</v>
      </c>
      <c r="D206" s="294">
        <f>D9*((D27-D42)*$Q$22-2*(Statistics!$E$10-Statistics!$E$11)*($O$21-$O9))*((D27-D42)*$Q$22-2*(Statistics!$E$10-Statistics!$E$11)*($O$21-$O9))</f>
        <v>0</v>
      </c>
      <c r="E206" s="294">
        <f>E9*((E27-E42)*$Q$22-2*(Statistics!$E$10-Statistics!$E$11)*($O$21-$O9))*((E27-E42)*$Q$22-2*(Statistics!$E$10-Statistics!$E$11)*($O$21-$O9))</f>
        <v>0</v>
      </c>
      <c r="F206" s="294">
        <f>F9*((F27-F42)*$Q$22-2*(Statistics!$E$10-Statistics!$E$11)*($O$21-$O9))*((F27-F42)*$Q$22-2*(Statistics!$E$10-Statistics!$E$11)*($O$21-$O9))</f>
        <v>0</v>
      </c>
      <c r="G206" s="294">
        <f>G9*((G27-G42)*$Q$22-2*(Statistics!$E$10-Statistics!$E$11)*($O$21-$O9))*((G27-G42)*$Q$22-2*(Statistics!$E$10-Statistics!$E$11)*($O$21-$O9))</f>
        <v>0</v>
      </c>
      <c r="H206" s="294">
        <f>H9*((H27-H42)*$Q$22-2*(Statistics!$E$10-Statistics!$E$11)*($O$21-$O9))*((H27-H42)*$Q$22-2*(Statistics!$E$10-Statistics!$E$11)*($O$21-$O9))</f>
        <v>0</v>
      </c>
      <c r="I206" s="294">
        <f>I9*((I27-I42)*$Q$22-2*(Statistics!$E$10-Statistics!$E$11)*($O$21-$O9))*((I27-I42)*$Q$22-2*(Statistics!$E$10-Statistics!$E$11)*($O$21-$O9))</f>
        <v>0</v>
      </c>
      <c r="J206" s="294">
        <f>J9*((J27-J42)*$Q$22-2*(Statistics!$E$10-Statistics!$E$11)*($O$21-$O9))*((J27-J42)*$Q$22-2*(Statistics!$E$10-Statistics!$E$11)*($O$21-$O9))</f>
        <v>0</v>
      </c>
      <c r="K206" s="294">
        <f>K9*((K27-K42)*$Q$22-2*(Statistics!$E$10-Statistics!$E$11)*($O$21-$O9))*((K27-K42)*$Q$22-2*(Statistics!$E$10-Statistics!$E$11)*($O$21-$O9))</f>
        <v>0</v>
      </c>
      <c r="L206" s="294">
        <f>L9*((L27-L42)*$Q$22-2*(Statistics!$E$10-Statistics!$E$11)*($O$21-$O9))*((L27-L42)*$Q$22-2*(Statistics!$E$10-Statistics!$E$11)*($O$21-$O9))</f>
        <v>0</v>
      </c>
      <c r="M206" s="294">
        <f>M9*((M27-M42)*$Q$22-2*(Statistics!$E$10-Statistics!$E$11)*($O$21-$O9))*((M27-M42)*$Q$22-2*(Statistics!$E$10-Statistics!$E$11)*($O$21-$O9))</f>
        <v>0</v>
      </c>
      <c r="N206" s="301">
        <f>N9*((N27-N42)*$Q$22-2*(Statistics!$E$10-Statistics!$E$11)*($O$21-$O9))*((N27-N42)*$Q$22-2*(Statistics!$E$10-Statistics!$E$11)*($O$21-$O9))</f>
        <v>0</v>
      </c>
    </row>
    <row r="207" spans="1:14" ht="12.75">
      <c r="A207" s="29"/>
      <c r="B207" s="264">
        <f>'Excerpt WDH'!B40</f>
        <v>10</v>
      </c>
      <c r="C207" s="295">
        <f>C10*((C28-C43)*$Q$22-2*(Statistics!$E$10-Statistics!$E$11)*($O$21-$O10))*((C28-C43)*$Q$22-2*(Statistics!$E$10-Statistics!$E$11)*($O$21-$O10))</f>
        <v>5.27989892476736E+23</v>
      </c>
      <c r="D207" s="296">
        <f>D10*((D28-D43)*$Q$22-2*(Statistics!$E$10-Statistics!$E$11)*($O$21-$O10))*((D28-D43)*$Q$22-2*(Statistics!$E$10-Statistics!$E$11)*($O$21-$O10))</f>
        <v>2.320646428064467E+19</v>
      </c>
      <c r="E207" s="296">
        <f>E10*((E28-E43)*$Q$22-2*(Statistics!$E$10-Statistics!$E$11)*($O$21-$O10))*((E28-E43)*$Q$22-2*(Statistics!$E$10-Statistics!$E$11)*($O$21-$O10))</f>
        <v>3.8440904366954614E+23</v>
      </c>
      <c r="F207" s="296">
        <f>F10*((F28-F43)*$Q$22-2*(Statistics!$E$10-Statistics!$E$11)*($O$21-$O10))*((F28-F43)*$Q$22-2*(Statistics!$E$10-Statistics!$E$11)*($O$21-$O10))</f>
        <v>0</v>
      </c>
      <c r="G207" s="296">
        <f>G10*((G28-G43)*$Q$22-2*(Statistics!$E$10-Statistics!$E$11)*($O$21-$O10))*((G28-G43)*$Q$22-2*(Statistics!$E$10-Statistics!$E$11)*($O$21-$O10))</f>
        <v>0</v>
      </c>
      <c r="H207" s="296">
        <f>H10*((H28-H43)*$Q$22-2*(Statistics!$E$10-Statistics!$E$11)*($O$21-$O10))*((H28-H43)*$Q$22-2*(Statistics!$E$10-Statistics!$E$11)*($O$21-$O10))</f>
        <v>0</v>
      </c>
      <c r="I207" s="296">
        <f>I10*((I28-I43)*$Q$22-2*(Statistics!$E$10-Statistics!$E$11)*($O$21-$O10))*((I28-I43)*$Q$22-2*(Statistics!$E$10-Statistics!$E$11)*($O$21-$O10))</f>
        <v>0</v>
      </c>
      <c r="J207" s="296">
        <f>J10*((J28-J43)*$Q$22-2*(Statistics!$E$10-Statistics!$E$11)*($O$21-$O10))*((J28-J43)*$Q$22-2*(Statistics!$E$10-Statistics!$E$11)*($O$21-$O10))</f>
        <v>0</v>
      </c>
      <c r="K207" s="296">
        <f>K10*((K28-K43)*$Q$22-2*(Statistics!$E$10-Statistics!$E$11)*($O$21-$O10))*((K28-K43)*$Q$22-2*(Statistics!$E$10-Statistics!$E$11)*($O$21-$O10))</f>
        <v>0</v>
      </c>
      <c r="L207" s="296">
        <f>L10*((L28-L43)*$Q$22-2*(Statistics!$E$10-Statistics!$E$11)*($O$21-$O10))*((L28-L43)*$Q$22-2*(Statistics!$E$10-Statistics!$E$11)*($O$21-$O10))</f>
        <v>0</v>
      </c>
      <c r="M207" s="296">
        <f>M10*((M28-M43)*$Q$22-2*(Statistics!$E$10-Statistics!$E$11)*($O$21-$O10))*((M28-M43)*$Q$22-2*(Statistics!$E$10-Statistics!$E$11)*($O$21-$O10))</f>
        <v>0</v>
      </c>
      <c r="N207" s="297">
        <f>N10*((N28-N43)*$Q$22-2*(Statistics!$E$10-Statistics!$E$11)*($O$21-$O10))*((N28-N43)*$Q$22-2*(Statistics!$E$10-Statistics!$E$11)*($O$21-$O10))</f>
        <v>0</v>
      </c>
    </row>
    <row r="208" spans="1:14" ht="12.75">
      <c r="A208" s="29"/>
      <c r="B208" s="264">
        <f>'Excerpt WDH'!B41</f>
        <v>9</v>
      </c>
      <c r="C208" s="295">
        <f>C11*((C29-C44)*$Q$22-2*(Statistics!$E$10-Statistics!$E$11)*($O$21-$O11))*((C29-C44)*$Q$22-2*(Statistics!$E$10-Statistics!$E$11)*($O$21-$O11))</f>
        <v>2.279824048897394E+23</v>
      </c>
      <c r="D208" s="296">
        <f>D11*((D29-D44)*$Q$22-2*(Statistics!$E$10-Statistics!$E$11)*($O$21-$O11))*((D29-D44)*$Q$22-2*(Statistics!$E$10-Statistics!$E$11)*($O$21-$O11))</f>
        <v>1.7873290409045378E+21</v>
      </c>
      <c r="E208" s="296">
        <f>E11*((E29-E44)*$Q$22-2*(Statistics!$E$10-Statistics!$E$11)*($O$21-$O11))*((E29-E44)*$Q$22-2*(Statistics!$E$10-Statistics!$E$11)*($O$21-$O11))</f>
        <v>2.5545560255970143E+23</v>
      </c>
      <c r="F208" s="296">
        <f>F11*((F29-F44)*$Q$22-2*(Statistics!$E$10-Statistics!$E$11)*($O$21-$O11))*((F29-F44)*$Q$22-2*(Statistics!$E$10-Statistics!$E$11)*($O$21-$O11))</f>
        <v>0</v>
      </c>
      <c r="G208" s="296">
        <f>G11*((G29-G44)*$Q$22-2*(Statistics!$E$10-Statistics!$E$11)*($O$21-$O11))*((G29-G44)*$Q$22-2*(Statistics!$E$10-Statistics!$E$11)*($O$21-$O11))</f>
        <v>0</v>
      </c>
      <c r="H208" s="296">
        <f>H11*((H29-H44)*$Q$22-2*(Statistics!$E$10-Statistics!$E$11)*($O$21-$O11))*((H29-H44)*$Q$22-2*(Statistics!$E$10-Statistics!$E$11)*($O$21-$O11))</f>
        <v>0</v>
      </c>
      <c r="I208" s="296">
        <f>I11*((I29-I44)*$Q$22-2*(Statistics!$E$10-Statistics!$E$11)*($O$21-$O11))*((I29-I44)*$Q$22-2*(Statistics!$E$10-Statistics!$E$11)*($O$21-$O11))</f>
        <v>0</v>
      </c>
      <c r="J208" s="296">
        <f>J11*((J29-J44)*$Q$22-2*(Statistics!$E$10-Statistics!$E$11)*($O$21-$O11))*((J29-J44)*$Q$22-2*(Statistics!$E$10-Statistics!$E$11)*($O$21-$O11))</f>
        <v>0</v>
      </c>
      <c r="K208" s="296">
        <f>K11*((K29-K44)*$Q$22-2*(Statistics!$E$10-Statistics!$E$11)*($O$21-$O11))*((K29-K44)*$Q$22-2*(Statistics!$E$10-Statistics!$E$11)*($O$21-$O11))</f>
        <v>0</v>
      </c>
      <c r="L208" s="296">
        <f>L11*((L29-L44)*$Q$22-2*(Statistics!$E$10-Statistics!$E$11)*($O$21-$O11))*((L29-L44)*$Q$22-2*(Statistics!$E$10-Statistics!$E$11)*($O$21-$O11))</f>
        <v>0</v>
      </c>
      <c r="M208" s="296">
        <f>M11*((M29-M44)*$Q$22-2*(Statistics!$E$10-Statistics!$E$11)*($O$21-$O11))*((M29-M44)*$Q$22-2*(Statistics!$E$10-Statistics!$E$11)*($O$21-$O11))</f>
        <v>0</v>
      </c>
      <c r="N208" s="297">
        <f>N11*((N29-N44)*$Q$22-2*(Statistics!$E$10-Statistics!$E$11)*($O$21-$O11))*((N29-N44)*$Q$22-2*(Statistics!$E$10-Statistics!$E$11)*($O$21-$O11))</f>
        <v>0</v>
      </c>
    </row>
    <row r="209" spans="1:14" ht="12.75">
      <c r="A209" s="29"/>
      <c r="B209" s="264">
        <f>'Excerpt WDH'!B42</f>
        <v>8</v>
      </c>
      <c r="C209" s="295">
        <f>C12*((C30-C45)*$Q$22-2*(Statistics!$E$10-Statistics!$E$11)*($O$21-$O12))*((C30-C45)*$Q$22-2*(Statistics!$E$10-Statistics!$E$11)*($O$21-$O12))</f>
        <v>2.086529766036789E+22</v>
      </c>
      <c r="D209" s="296">
        <f>D12*((D30-D45)*$Q$22-2*(Statistics!$E$10-Statistics!$E$11)*($O$21-$O12))*((D30-D45)*$Q$22-2*(Statistics!$E$10-Statistics!$E$11)*($O$21-$O12))</f>
        <v>2.971570804639834E+19</v>
      </c>
      <c r="E209" s="296">
        <f>E12*((E30-E45)*$Q$22-2*(Statistics!$E$10-Statistics!$E$11)*($O$21-$O12))*((E30-E45)*$Q$22-2*(Statistics!$E$10-Statistics!$E$11)*($O$21-$O12))</f>
        <v>9.57718964503933E+21</v>
      </c>
      <c r="F209" s="296">
        <f>F12*((F30-F45)*$Q$22-2*(Statistics!$E$10-Statistics!$E$11)*($O$21-$O12))*((F30-F45)*$Q$22-2*(Statistics!$E$10-Statistics!$E$11)*($O$21-$O12))</f>
        <v>0</v>
      </c>
      <c r="G209" s="296">
        <f>G12*((G30-G45)*$Q$22-2*(Statistics!$E$10-Statistics!$E$11)*($O$21-$O12))*((G30-G45)*$Q$22-2*(Statistics!$E$10-Statistics!$E$11)*($O$21-$O12))</f>
        <v>0</v>
      </c>
      <c r="H209" s="296">
        <f>H12*((H30-H45)*$Q$22-2*(Statistics!$E$10-Statistics!$E$11)*($O$21-$O12))*((H30-H45)*$Q$22-2*(Statistics!$E$10-Statistics!$E$11)*($O$21-$O12))</f>
        <v>0</v>
      </c>
      <c r="I209" s="296">
        <f>I12*((I30-I45)*$Q$22-2*(Statistics!$E$10-Statistics!$E$11)*($O$21-$O12))*((I30-I45)*$Q$22-2*(Statistics!$E$10-Statistics!$E$11)*($O$21-$O12))</f>
        <v>0</v>
      </c>
      <c r="J209" s="296">
        <f>J12*((J30-J45)*$Q$22-2*(Statistics!$E$10-Statistics!$E$11)*($O$21-$O12))*((J30-J45)*$Q$22-2*(Statistics!$E$10-Statistics!$E$11)*($O$21-$O12))</f>
        <v>0</v>
      </c>
      <c r="K209" s="296">
        <f>K12*((K30-K45)*$Q$22-2*(Statistics!$E$10-Statistics!$E$11)*($O$21-$O12))*((K30-K45)*$Q$22-2*(Statistics!$E$10-Statistics!$E$11)*($O$21-$O12))</f>
        <v>0</v>
      </c>
      <c r="L209" s="296">
        <f>L12*((L30-L45)*$Q$22-2*(Statistics!$E$10-Statistics!$E$11)*($O$21-$O12))*((L30-L45)*$Q$22-2*(Statistics!$E$10-Statistics!$E$11)*($O$21-$O12))</f>
        <v>0</v>
      </c>
      <c r="M209" s="296">
        <f>M12*((M30-M45)*$Q$22-2*(Statistics!$E$10-Statistics!$E$11)*($O$21-$O12))*((M30-M45)*$Q$22-2*(Statistics!$E$10-Statistics!$E$11)*($O$21-$O12))</f>
        <v>0</v>
      </c>
      <c r="N209" s="297">
        <f>N12*((N30-N45)*$Q$22-2*(Statistics!$E$10-Statistics!$E$11)*($O$21-$O12))*((N30-N45)*$Q$22-2*(Statistics!$E$10-Statistics!$E$11)*($O$21-$O12))</f>
        <v>0</v>
      </c>
    </row>
    <row r="210" spans="1:14" ht="12.75">
      <c r="A210" s="29"/>
      <c r="B210" s="264">
        <f>'Excerpt WDH'!B43</f>
        <v>7</v>
      </c>
      <c r="C210" s="295">
        <f>C13*((C31-C46)*$Q$22-2*(Statistics!$E$10-Statistics!$E$11)*($O$21-$O13))*((C31-C46)*$Q$22-2*(Statistics!$E$10-Statistics!$E$11)*($O$21-$O13))</f>
        <v>3.099045300918624E+23</v>
      </c>
      <c r="D210" s="296">
        <f>D13*((D31-D46)*$Q$22-2*(Statistics!$E$10-Statistics!$E$11)*($O$21-$O13))*((D31-D46)*$Q$22-2*(Statistics!$E$10-Statistics!$E$11)*($O$21-$O13))</f>
        <v>5.608539912457686E+21</v>
      </c>
      <c r="E210" s="296">
        <f>E13*((E31-E46)*$Q$22-2*(Statistics!$E$10-Statistics!$E$11)*($O$21-$O13))*((E31-E46)*$Q$22-2*(Statistics!$E$10-Statistics!$E$11)*($O$21-$O13))</f>
        <v>2.758533496978143E+23</v>
      </c>
      <c r="F210" s="296">
        <f>F13*((F31-F46)*$Q$22-2*(Statistics!$E$10-Statistics!$E$11)*($O$21-$O13))*((F31-F46)*$Q$22-2*(Statistics!$E$10-Statistics!$E$11)*($O$21-$O13))</f>
        <v>0</v>
      </c>
      <c r="G210" s="296">
        <f>G13*((G31-G46)*$Q$22-2*(Statistics!$E$10-Statistics!$E$11)*($O$21-$O13))*((G31-G46)*$Q$22-2*(Statistics!$E$10-Statistics!$E$11)*($O$21-$O13))</f>
        <v>0</v>
      </c>
      <c r="H210" s="296">
        <f>H13*((H31-H46)*$Q$22-2*(Statistics!$E$10-Statistics!$E$11)*($O$21-$O13))*((H31-H46)*$Q$22-2*(Statistics!$E$10-Statistics!$E$11)*($O$21-$O13))</f>
        <v>0</v>
      </c>
      <c r="I210" s="296">
        <f>I13*((I31-I46)*$Q$22-2*(Statistics!$E$10-Statistics!$E$11)*($O$21-$O13))*((I31-I46)*$Q$22-2*(Statistics!$E$10-Statistics!$E$11)*($O$21-$O13))</f>
        <v>0</v>
      </c>
      <c r="J210" s="296">
        <f>J13*((J31-J46)*$Q$22-2*(Statistics!$E$10-Statistics!$E$11)*($O$21-$O13))*((J31-J46)*$Q$22-2*(Statistics!$E$10-Statistics!$E$11)*($O$21-$O13))</f>
        <v>0</v>
      </c>
      <c r="K210" s="296">
        <f>K13*((K31-K46)*$Q$22-2*(Statistics!$E$10-Statistics!$E$11)*($O$21-$O13))*((K31-K46)*$Q$22-2*(Statistics!$E$10-Statistics!$E$11)*($O$21-$O13))</f>
        <v>0</v>
      </c>
      <c r="L210" s="296">
        <f>L13*((L31-L46)*$Q$22-2*(Statistics!$E$10-Statistics!$E$11)*($O$21-$O13))*((L31-L46)*$Q$22-2*(Statistics!$E$10-Statistics!$E$11)*($O$21-$O13))</f>
        <v>0</v>
      </c>
      <c r="M210" s="296">
        <f>M13*((M31-M46)*$Q$22-2*(Statistics!$E$10-Statistics!$E$11)*($O$21-$O13))*((M31-M46)*$Q$22-2*(Statistics!$E$10-Statistics!$E$11)*($O$21-$O13))</f>
        <v>0</v>
      </c>
      <c r="N210" s="297">
        <f>N13*((N31-N46)*$Q$22-2*(Statistics!$E$10-Statistics!$E$11)*($O$21-$O13))*((N31-N46)*$Q$22-2*(Statistics!$E$10-Statistics!$E$11)*($O$21-$O13))</f>
        <v>0</v>
      </c>
    </row>
    <row r="211" spans="1:14" ht="12.75">
      <c r="A211" s="29"/>
      <c r="B211" s="264">
        <f>'Excerpt WDH'!B44</f>
        <v>6</v>
      </c>
      <c r="C211" s="295">
        <f>C14*((C32-C47)*$Q$22-2*(Statistics!$E$10-Statistics!$E$11)*($O$21-$O14))*((C32-C47)*$Q$22-2*(Statistics!$E$10-Statistics!$E$11)*($O$21-$O14))</f>
        <v>1.948447955668523E+23</v>
      </c>
      <c r="D211" s="296">
        <f>D14*((D32-D47)*$Q$22-2*(Statistics!$E$10-Statistics!$E$11)*($O$21-$O14))*((D32-D47)*$Q$22-2*(Statistics!$E$10-Statistics!$E$11)*($O$21-$O14))</f>
        <v>3.2481931418013317E+21</v>
      </c>
      <c r="E211" s="296">
        <f>E14*((E32-E47)*$Q$22-2*(Statistics!$E$10-Statistics!$E$11)*($O$21-$O14))*((E32-E47)*$Q$22-2*(Statistics!$E$10-Statistics!$E$11)*($O$21-$O14))</f>
        <v>1.694593186759466E+23</v>
      </c>
      <c r="F211" s="296">
        <f>F14*((F32-F47)*$Q$22-2*(Statistics!$E$10-Statistics!$E$11)*($O$21-$O14))*((F32-F47)*$Q$22-2*(Statistics!$E$10-Statistics!$E$11)*($O$21-$O14))</f>
        <v>0</v>
      </c>
      <c r="G211" s="296">
        <f>G14*((G32-G47)*$Q$22-2*(Statistics!$E$10-Statistics!$E$11)*($O$21-$O14))*((G32-G47)*$Q$22-2*(Statistics!$E$10-Statistics!$E$11)*($O$21-$O14))</f>
        <v>0</v>
      </c>
      <c r="H211" s="296">
        <f>H14*((H32-H47)*$Q$22-2*(Statistics!$E$10-Statistics!$E$11)*($O$21-$O14))*((H32-H47)*$Q$22-2*(Statistics!$E$10-Statistics!$E$11)*($O$21-$O14))</f>
        <v>0</v>
      </c>
      <c r="I211" s="296">
        <f>I14*((I32-I47)*$Q$22-2*(Statistics!$E$10-Statistics!$E$11)*($O$21-$O14))*((I32-I47)*$Q$22-2*(Statistics!$E$10-Statistics!$E$11)*($O$21-$O14))</f>
        <v>0</v>
      </c>
      <c r="J211" s="296">
        <f>J14*((J32-J47)*$Q$22-2*(Statistics!$E$10-Statistics!$E$11)*($O$21-$O14))*((J32-J47)*$Q$22-2*(Statistics!$E$10-Statistics!$E$11)*($O$21-$O14))</f>
        <v>0</v>
      </c>
      <c r="K211" s="296">
        <f>K14*((K32-K47)*$Q$22-2*(Statistics!$E$10-Statistics!$E$11)*($O$21-$O14))*((K32-K47)*$Q$22-2*(Statistics!$E$10-Statistics!$E$11)*($O$21-$O14))</f>
        <v>0</v>
      </c>
      <c r="L211" s="296">
        <f>L14*((L32-L47)*$Q$22-2*(Statistics!$E$10-Statistics!$E$11)*($O$21-$O14))*((L32-L47)*$Q$22-2*(Statistics!$E$10-Statistics!$E$11)*($O$21-$O14))</f>
        <v>0</v>
      </c>
      <c r="M211" s="296">
        <f>M14*((M32-M47)*$Q$22-2*(Statistics!$E$10-Statistics!$E$11)*($O$21-$O14))*((M32-M47)*$Q$22-2*(Statistics!$E$10-Statistics!$E$11)*($O$21-$O14))</f>
        <v>0</v>
      </c>
      <c r="N211" s="297">
        <f>N14*((N32-N47)*$Q$22-2*(Statistics!$E$10-Statistics!$E$11)*($O$21-$O14))*((N32-N47)*$Q$22-2*(Statistics!$E$10-Statistics!$E$11)*($O$21-$O14))</f>
        <v>0</v>
      </c>
    </row>
    <row r="212" spans="1:14" ht="12.75">
      <c r="A212" s="29"/>
      <c r="B212" s="264">
        <f>'Excerpt WDH'!B45</f>
        <v>5</v>
      </c>
      <c r="C212" s="295">
        <f>C15*((C33-C48)*$Q$22-2*(Statistics!$E$10-Statistics!$E$11)*($O$21-$O15))*((C33-C48)*$Q$22-2*(Statistics!$E$10-Statistics!$E$11)*($O$21-$O15))</f>
        <v>2.29267625740029E+23</v>
      </c>
      <c r="D212" s="296">
        <f>D15*((D33-D48)*$Q$22-2*(Statistics!$E$10-Statistics!$E$11)*($O$21-$O15))*((D33-D48)*$Q$22-2*(Statistics!$E$10-Statistics!$E$11)*($O$21-$O15))</f>
        <v>2.920045210031203E+21</v>
      </c>
      <c r="E212" s="296">
        <f>E15*((E33-E48)*$Q$22-2*(Statistics!$E$10-Statistics!$E$11)*($O$21-$O15))*((E33-E48)*$Q$22-2*(Statistics!$E$10-Statistics!$E$11)*($O$21-$O15))</f>
        <v>1.0538325574537752E+23</v>
      </c>
      <c r="F212" s="296">
        <f>F15*((F33-F48)*$Q$22-2*(Statistics!$E$10-Statistics!$E$11)*($O$21-$O15))*((F33-F48)*$Q$22-2*(Statistics!$E$10-Statistics!$E$11)*($O$21-$O15))</f>
        <v>0</v>
      </c>
      <c r="G212" s="296">
        <f>G15*((G33-G48)*$Q$22-2*(Statistics!$E$10-Statistics!$E$11)*($O$21-$O15))*((G33-G48)*$Q$22-2*(Statistics!$E$10-Statistics!$E$11)*($O$21-$O15))</f>
        <v>0</v>
      </c>
      <c r="H212" s="296">
        <f>H15*((H33-H48)*$Q$22-2*(Statistics!$E$10-Statistics!$E$11)*($O$21-$O15))*((H33-H48)*$Q$22-2*(Statistics!$E$10-Statistics!$E$11)*($O$21-$O15))</f>
        <v>0</v>
      </c>
      <c r="I212" s="296">
        <f>I15*((I33-I48)*$Q$22-2*(Statistics!$E$10-Statistics!$E$11)*($O$21-$O15))*((I33-I48)*$Q$22-2*(Statistics!$E$10-Statistics!$E$11)*($O$21-$O15))</f>
        <v>0</v>
      </c>
      <c r="J212" s="296">
        <f>J15*((J33-J48)*$Q$22-2*(Statistics!$E$10-Statistics!$E$11)*($O$21-$O15))*((J33-J48)*$Q$22-2*(Statistics!$E$10-Statistics!$E$11)*($O$21-$O15))</f>
        <v>0</v>
      </c>
      <c r="K212" s="296">
        <f>K15*((K33-K48)*$Q$22-2*(Statistics!$E$10-Statistics!$E$11)*($O$21-$O15))*((K33-K48)*$Q$22-2*(Statistics!$E$10-Statistics!$E$11)*($O$21-$O15))</f>
        <v>0</v>
      </c>
      <c r="L212" s="296">
        <f>L15*((L33-L48)*$Q$22-2*(Statistics!$E$10-Statistics!$E$11)*($O$21-$O15))*((L33-L48)*$Q$22-2*(Statistics!$E$10-Statistics!$E$11)*($O$21-$O15))</f>
        <v>0</v>
      </c>
      <c r="M212" s="296">
        <f>M15*((M33-M48)*$Q$22-2*(Statistics!$E$10-Statistics!$E$11)*($O$21-$O15))*((M33-M48)*$Q$22-2*(Statistics!$E$10-Statistics!$E$11)*($O$21-$O15))</f>
        <v>0</v>
      </c>
      <c r="N212" s="297">
        <f>N15*((N33-N48)*$Q$22-2*(Statistics!$E$10-Statistics!$E$11)*($O$21-$O15))*((N33-N48)*$Q$22-2*(Statistics!$E$10-Statistics!$E$11)*($O$21-$O15))</f>
        <v>0</v>
      </c>
    </row>
    <row r="213" spans="1:14" ht="12.75">
      <c r="A213" s="29"/>
      <c r="B213" s="264">
        <f>'Excerpt WDH'!B46</f>
        <v>4</v>
      </c>
      <c r="C213" s="295">
        <f>C16*((C34-C49)*$Q$22-2*(Statistics!$E$10-Statistics!$E$11)*($O$21-$O16))*((C34-C49)*$Q$22-2*(Statistics!$E$10-Statistics!$E$11)*($O$21-$O16))</f>
        <v>5.521320290064791E+22</v>
      </c>
      <c r="D213" s="296">
        <f>D16*((D34-D49)*$Q$22-2*(Statistics!$E$10-Statistics!$E$11)*($O$21-$O16))*((D34-D49)*$Q$22-2*(Statistics!$E$10-Statistics!$E$11)*($O$21-$O16))</f>
        <v>5.0235118506022384E+20</v>
      </c>
      <c r="E213" s="296">
        <f>E16*((E34-E49)*$Q$22-2*(Statistics!$E$10-Statistics!$E$11)*($O$21-$O16))*((E34-E49)*$Q$22-2*(Statistics!$E$10-Statistics!$E$11)*($O$21-$O16))</f>
        <v>2.4329829029452884E+22</v>
      </c>
      <c r="F213" s="296">
        <f>F16*((F34-F49)*$Q$22-2*(Statistics!$E$10-Statistics!$E$11)*($O$21-$O16))*((F34-F49)*$Q$22-2*(Statistics!$E$10-Statistics!$E$11)*($O$21-$O16))</f>
        <v>0</v>
      </c>
      <c r="G213" s="296">
        <f>G16*((G34-G49)*$Q$22-2*(Statistics!$E$10-Statistics!$E$11)*($O$21-$O16))*((G34-G49)*$Q$22-2*(Statistics!$E$10-Statistics!$E$11)*($O$21-$O16))</f>
        <v>0</v>
      </c>
      <c r="H213" s="296">
        <f>H16*((H34-H49)*$Q$22-2*(Statistics!$E$10-Statistics!$E$11)*($O$21-$O16))*((H34-H49)*$Q$22-2*(Statistics!$E$10-Statistics!$E$11)*($O$21-$O16))</f>
        <v>0</v>
      </c>
      <c r="I213" s="296">
        <f>I16*((I34-I49)*$Q$22-2*(Statistics!$E$10-Statistics!$E$11)*($O$21-$O16))*((I34-I49)*$Q$22-2*(Statistics!$E$10-Statistics!$E$11)*($O$21-$O16))</f>
        <v>0</v>
      </c>
      <c r="J213" s="296">
        <f>J16*((J34-J49)*$Q$22-2*(Statistics!$E$10-Statistics!$E$11)*($O$21-$O16))*((J34-J49)*$Q$22-2*(Statistics!$E$10-Statistics!$E$11)*($O$21-$O16))</f>
        <v>0</v>
      </c>
      <c r="K213" s="296">
        <f>K16*((K34-K49)*$Q$22-2*(Statistics!$E$10-Statistics!$E$11)*($O$21-$O16))*((K34-K49)*$Q$22-2*(Statistics!$E$10-Statistics!$E$11)*($O$21-$O16))</f>
        <v>0</v>
      </c>
      <c r="L213" s="296">
        <f>L16*((L34-L49)*$Q$22-2*(Statistics!$E$10-Statistics!$E$11)*($O$21-$O16))*((L34-L49)*$Q$22-2*(Statistics!$E$10-Statistics!$E$11)*($O$21-$O16))</f>
        <v>0</v>
      </c>
      <c r="M213" s="296">
        <f>M16*((M34-M49)*$Q$22-2*(Statistics!$E$10-Statistics!$E$11)*($O$21-$O16))*((M34-M49)*$Q$22-2*(Statistics!$E$10-Statistics!$E$11)*($O$21-$O16))</f>
        <v>0</v>
      </c>
      <c r="N213" s="297">
        <f>N16*((N34-N49)*$Q$22-2*(Statistics!$E$10-Statistics!$E$11)*($O$21-$O16))*((N34-N49)*$Q$22-2*(Statistics!$E$10-Statistics!$E$11)*($O$21-$O16))</f>
        <v>0</v>
      </c>
    </row>
    <row r="214" spans="1:14" ht="12.75">
      <c r="A214" s="29"/>
      <c r="B214" s="264">
        <f>'Excerpt WDH'!B47</f>
        <v>3</v>
      </c>
      <c r="C214" s="295">
        <f>C17*((C35-C50)*$Q$22-2*(Statistics!$E$10-Statistics!$E$11)*($O$21-$O17))*((C35-C50)*$Q$22-2*(Statistics!$E$10-Statistics!$E$11)*($O$21-$O17))</f>
        <v>3.507362346498424E+22</v>
      </c>
      <c r="D214" s="296">
        <f>D17*((D35-D50)*$Q$22-2*(Statistics!$E$10-Statistics!$E$11)*($O$21-$O17))*((D35-D50)*$Q$22-2*(Statistics!$E$10-Statistics!$E$11)*($O$21-$O17))</f>
        <v>1.4303284867405934E+20</v>
      </c>
      <c r="E214" s="296">
        <f>E17*((E35-E50)*$Q$22-2*(Statistics!$E$10-Statistics!$E$11)*($O$21-$O17))*((E35-E50)*$Q$22-2*(Statistics!$E$10-Statistics!$E$11)*($O$21-$O17))</f>
        <v>6.817548857583498E+21</v>
      </c>
      <c r="F214" s="296">
        <f>F17*((F35-F50)*$Q$22-2*(Statistics!$E$10-Statistics!$E$11)*($O$21-$O17))*((F35-F50)*$Q$22-2*(Statistics!$E$10-Statistics!$E$11)*($O$21-$O17))</f>
        <v>0</v>
      </c>
      <c r="G214" s="296">
        <f>G17*((G35-G50)*$Q$22-2*(Statistics!$E$10-Statistics!$E$11)*($O$21-$O17))*((G35-G50)*$Q$22-2*(Statistics!$E$10-Statistics!$E$11)*($O$21-$O17))</f>
        <v>0</v>
      </c>
      <c r="H214" s="296">
        <f>H17*((H35-H50)*$Q$22-2*(Statistics!$E$10-Statistics!$E$11)*($O$21-$O17))*((H35-H50)*$Q$22-2*(Statistics!$E$10-Statistics!$E$11)*($O$21-$O17))</f>
        <v>0</v>
      </c>
      <c r="I214" s="296">
        <f>I17*((I35-I50)*$Q$22-2*(Statistics!$E$10-Statistics!$E$11)*($O$21-$O17))*((I35-I50)*$Q$22-2*(Statistics!$E$10-Statistics!$E$11)*($O$21-$O17))</f>
        <v>0</v>
      </c>
      <c r="J214" s="296">
        <f>J17*((J35-J50)*$Q$22-2*(Statistics!$E$10-Statistics!$E$11)*($O$21-$O17))*((J35-J50)*$Q$22-2*(Statistics!$E$10-Statistics!$E$11)*($O$21-$O17))</f>
        <v>0</v>
      </c>
      <c r="K214" s="296">
        <f>K17*((K35-K50)*$Q$22-2*(Statistics!$E$10-Statistics!$E$11)*($O$21-$O17))*((K35-K50)*$Q$22-2*(Statistics!$E$10-Statistics!$E$11)*($O$21-$O17))</f>
        <v>0</v>
      </c>
      <c r="L214" s="296">
        <f>L17*((L35-L50)*$Q$22-2*(Statistics!$E$10-Statistics!$E$11)*($O$21-$O17))*((L35-L50)*$Q$22-2*(Statistics!$E$10-Statistics!$E$11)*($O$21-$O17))</f>
        <v>0</v>
      </c>
      <c r="M214" s="296">
        <f>M17*((M35-M50)*$Q$22-2*(Statistics!$E$10-Statistics!$E$11)*($O$21-$O17))*((M35-M50)*$Q$22-2*(Statistics!$E$10-Statistics!$E$11)*($O$21-$O17))</f>
        <v>0</v>
      </c>
      <c r="N214" s="297">
        <f>N17*((N35-N50)*$Q$22-2*(Statistics!$E$10-Statistics!$E$11)*($O$21-$O17))*((N35-N50)*$Q$22-2*(Statistics!$E$10-Statistics!$E$11)*($O$21-$O17))</f>
        <v>0</v>
      </c>
    </row>
    <row r="215" spans="1:14" ht="12.75">
      <c r="A215" s="29"/>
      <c r="B215" s="264">
        <f>'Excerpt WDH'!B48</f>
        <v>2</v>
      </c>
      <c r="C215" s="295">
        <f>C18*((C36-C51)*$Q$22-2*(Statistics!$E$10-Statistics!$E$11)*($O$21-$O18))*((C36-C51)*$Q$22-2*(Statistics!$E$10-Statistics!$E$11)*($O$21-$O18))</f>
        <v>2.1203430852825948E+22</v>
      </c>
      <c r="D215" s="296">
        <f>D18*((D36-D51)*$Q$22-2*(Statistics!$E$10-Statistics!$E$11)*($O$21-$O18))*((D36-D51)*$Q$22-2*(Statistics!$E$10-Statistics!$E$11)*($O$21-$O18))</f>
        <v>9.172226632284568E+19</v>
      </c>
      <c r="E215" s="296">
        <f>E18*((E36-E51)*$Q$22-2*(Statistics!$E$10-Statistics!$E$11)*($O$21-$O18))*((E36-E51)*$Q$22-2*(Statistics!$E$10-Statistics!$E$11)*($O$21-$O18))</f>
        <v>1.1531719545841869E+22</v>
      </c>
      <c r="F215" s="296">
        <f>F18*((F36-F51)*$Q$22-2*(Statistics!$E$10-Statistics!$E$11)*($O$21-$O18))*((F36-F51)*$Q$22-2*(Statistics!$E$10-Statistics!$E$11)*($O$21-$O18))</f>
        <v>0</v>
      </c>
      <c r="G215" s="296">
        <f>G18*((G36-G51)*$Q$22-2*(Statistics!$E$10-Statistics!$E$11)*($O$21-$O18))*((G36-G51)*$Q$22-2*(Statistics!$E$10-Statistics!$E$11)*($O$21-$O18))</f>
        <v>0</v>
      </c>
      <c r="H215" s="296">
        <f>H18*((H36-H51)*$Q$22-2*(Statistics!$E$10-Statistics!$E$11)*($O$21-$O18))*((H36-H51)*$Q$22-2*(Statistics!$E$10-Statistics!$E$11)*($O$21-$O18))</f>
        <v>0</v>
      </c>
      <c r="I215" s="296">
        <f>I18*((I36-I51)*$Q$22-2*(Statistics!$E$10-Statistics!$E$11)*($O$21-$O18))*((I36-I51)*$Q$22-2*(Statistics!$E$10-Statistics!$E$11)*($O$21-$O18))</f>
        <v>0</v>
      </c>
      <c r="J215" s="296">
        <f>J18*((J36-J51)*$Q$22-2*(Statistics!$E$10-Statistics!$E$11)*($O$21-$O18))*((J36-J51)*$Q$22-2*(Statistics!$E$10-Statistics!$E$11)*($O$21-$O18))</f>
        <v>0</v>
      </c>
      <c r="K215" s="296">
        <f>K18*((K36-K51)*$Q$22-2*(Statistics!$E$10-Statistics!$E$11)*($O$21-$O18))*((K36-K51)*$Q$22-2*(Statistics!$E$10-Statistics!$E$11)*($O$21-$O18))</f>
        <v>0</v>
      </c>
      <c r="L215" s="296">
        <f>L18*((L36-L51)*$Q$22-2*(Statistics!$E$10-Statistics!$E$11)*($O$21-$O18))*((L36-L51)*$Q$22-2*(Statistics!$E$10-Statistics!$E$11)*($O$21-$O18))</f>
        <v>0</v>
      </c>
      <c r="M215" s="296">
        <f>M18*((M36-M51)*$Q$22-2*(Statistics!$E$10-Statistics!$E$11)*($O$21-$O18))*((M36-M51)*$Q$22-2*(Statistics!$E$10-Statistics!$E$11)*($O$21-$O18))</f>
        <v>0</v>
      </c>
      <c r="N215" s="297">
        <f>N18*((N36-N51)*$Q$22-2*(Statistics!$E$10-Statistics!$E$11)*($O$21-$O18))*((N36-N51)*$Q$22-2*(Statistics!$E$10-Statistics!$E$11)*($O$21-$O18))</f>
        <v>0</v>
      </c>
    </row>
    <row r="216" spans="1:14" ht="12.75">
      <c r="A216" s="29"/>
      <c r="B216" s="264">
        <f>'Excerpt WDH'!B49</f>
        <v>1</v>
      </c>
      <c r="C216" s="295">
        <f>C19*((C37-C52)*$Q$22-2*(Statistics!$E$10-Statistics!$E$11)*($O$21-$O19))*((C37-C52)*$Q$22-2*(Statistics!$E$10-Statistics!$E$11)*($O$21-$O19))</f>
        <v>3.5532808480473104E+21</v>
      </c>
      <c r="D216" s="296">
        <f>D19*((D37-D52)*$Q$22-2*(Statistics!$E$10-Statistics!$E$11)*($O$21-$O19))*((D37-D52)*$Q$22-2*(Statistics!$E$10-Statistics!$E$11)*($O$21-$O19))</f>
        <v>9.107371170073846E+19</v>
      </c>
      <c r="E216" s="296">
        <f>E19*((E37-E52)*$Q$22-2*(Statistics!$E$10-Statistics!$E$11)*($O$21-$O19))*((E37-E52)*$Q$22-2*(Statistics!$E$10-Statistics!$E$11)*($O$21-$O19))</f>
        <v>0</v>
      </c>
      <c r="F216" s="296">
        <f>F19*((F37-F52)*$Q$22-2*(Statistics!$E$10-Statistics!$E$11)*($O$21-$O19))*((F37-F52)*$Q$22-2*(Statistics!$E$10-Statistics!$E$11)*($O$21-$O19))</f>
        <v>0</v>
      </c>
      <c r="G216" s="296">
        <f>G19*((G37-G52)*$Q$22-2*(Statistics!$E$10-Statistics!$E$11)*($O$21-$O19))*((G37-G52)*$Q$22-2*(Statistics!$E$10-Statistics!$E$11)*($O$21-$O19))</f>
        <v>0</v>
      </c>
      <c r="H216" s="296">
        <f>H19*((H37-H52)*$Q$22-2*(Statistics!$E$10-Statistics!$E$11)*($O$21-$O19))*((H37-H52)*$Q$22-2*(Statistics!$E$10-Statistics!$E$11)*($O$21-$O19))</f>
        <v>0</v>
      </c>
      <c r="I216" s="296">
        <f>I19*((I37-I52)*$Q$22-2*(Statistics!$E$10-Statistics!$E$11)*($O$21-$O19))*((I37-I52)*$Q$22-2*(Statistics!$E$10-Statistics!$E$11)*($O$21-$O19))</f>
        <v>0</v>
      </c>
      <c r="J216" s="296">
        <f>J19*((J37-J52)*$Q$22-2*(Statistics!$E$10-Statistics!$E$11)*($O$21-$O19))*((J37-J52)*$Q$22-2*(Statistics!$E$10-Statistics!$E$11)*($O$21-$O19))</f>
        <v>0</v>
      </c>
      <c r="K216" s="296">
        <f>K19*((K37-K52)*$Q$22-2*(Statistics!$E$10-Statistics!$E$11)*($O$21-$O19))*((K37-K52)*$Q$22-2*(Statistics!$E$10-Statistics!$E$11)*($O$21-$O19))</f>
        <v>0</v>
      </c>
      <c r="L216" s="296">
        <f>L19*((L37-L52)*$Q$22-2*(Statistics!$E$10-Statistics!$E$11)*($O$21-$O19))*((L37-L52)*$Q$22-2*(Statistics!$E$10-Statistics!$E$11)*($O$21-$O19))</f>
        <v>0</v>
      </c>
      <c r="M216" s="296">
        <f>M19*((M37-M52)*$Q$22-2*(Statistics!$E$10-Statistics!$E$11)*($O$21-$O19))*((M37-M52)*$Q$22-2*(Statistics!$E$10-Statistics!$E$11)*($O$21-$O19))</f>
        <v>0</v>
      </c>
      <c r="N216" s="297">
        <f>N19*((N37-N52)*$Q$22-2*(Statistics!$E$10-Statistics!$E$11)*($O$21-$O19))*((N37-N52)*$Q$22-2*(Statistics!$E$10-Statistics!$E$11)*($O$21-$O19))</f>
        <v>0</v>
      </c>
    </row>
    <row r="217" spans="1:14" ht="13.5" thickBot="1">
      <c r="A217" s="29"/>
      <c r="B217" s="264">
        <f>'Excerpt WDH'!B50</f>
        <v>0</v>
      </c>
      <c r="C217" s="298">
        <f>C20*((C38-C53)*$Q$22-2*(Statistics!$E$10-Statistics!$E$11)*($O$21-$O20))*((C38-C53)*$Q$22-2*(Statistics!$E$10-Statistics!$E$11)*($O$21-$O20))</f>
        <v>2.1387605101137938E+22</v>
      </c>
      <c r="D217" s="299">
        <f>D20*((D38-D53)*$Q$22-2*(Statistics!$E$10-Statistics!$E$11)*($O$21-$O20))*((D38-D53)*$Q$22-2*(Statistics!$E$10-Statistics!$E$11)*($O$21-$O20))</f>
        <v>8.861125022026713E+19</v>
      </c>
      <c r="E217" s="299">
        <f>E20*((E38-E53)*$Q$22-2*(Statistics!$E$10-Statistics!$E$11)*($O$21-$O20))*((E38-E53)*$Q$22-2*(Statistics!$E$10-Statistics!$E$11)*($O$21-$O20))</f>
        <v>4.684128401522728E+21</v>
      </c>
      <c r="F217" s="299">
        <f>F20*((F38-F53)*$Q$22-2*(Statistics!$E$10-Statistics!$E$11)*($O$21-$O20))*((F38-F53)*$Q$22-2*(Statistics!$E$10-Statistics!$E$11)*($O$21-$O20))</f>
        <v>0</v>
      </c>
      <c r="G217" s="299">
        <f>G20*((G38-G53)*$Q$22-2*(Statistics!$E$10-Statistics!$E$11)*($O$21-$O20))*((G38-G53)*$Q$22-2*(Statistics!$E$10-Statistics!$E$11)*($O$21-$O20))</f>
        <v>0</v>
      </c>
      <c r="H217" s="299">
        <f>H20*((H38-H53)*$Q$22-2*(Statistics!$E$10-Statistics!$E$11)*($O$21-$O20))*((H38-H53)*$Q$22-2*(Statistics!$E$10-Statistics!$E$11)*($O$21-$O20))</f>
        <v>0</v>
      </c>
      <c r="I217" s="299">
        <f>I20*((I38-I53)*$Q$22-2*(Statistics!$E$10-Statistics!$E$11)*($O$21-$O20))*((I38-I53)*$Q$22-2*(Statistics!$E$10-Statistics!$E$11)*($O$21-$O20))</f>
        <v>0</v>
      </c>
      <c r="J217" s="299">
        <f>J20*((J38-J53)*$Q$22-2*(Statistics!$E$10-Statistics!$E$11)*($O$21-$O20))*((J38-J53)*$Q$22-2*(Statistics!$E$10-Statistics!$E$11)*($O$21-$O20))</f>
        <v>0</v>
      </c>
      <c r="K217" s="299">
        <f>K20*((K38-K53)*$Q$22-2*(Statistics!$E$10-Statistics!$E$11)*($O$21-$O20))*((K38-K53)*$Q$22-2*(Statistics!$E$10-Statistics!$E$11)*($O$21-$O20))</f>
        <v>0</v>
      </c>
      <c r="L217" s="299">
        <f>L20*((L38-L53)*$Q$22-2*(Statistics!$E$10-Statistics!$E$11)*($O$21-$O20))*((L38-L53)*$Q$22-2*(Statistics!$E$10-Statistics!$E$11)*($O$21-$O20))</f>
        <v>0</v>
      </c>
      <c r="M217" s="299">
        <f>M20*((M38-M53)*$Q$22-2*(Statistics!$E$10-Statistics!$E$11)*($O$21-$O20))*((M38-M53)*$Q$22-2*(Statistics!$E$10-Statistics!$E$11)*($O$21-$O20))</f>
        <v>0</v>
      </c>
      <c r="N217" s="300">
        <f>N20*((N38-N53)*$Q$22-2*(Statistics!$E$10-Statistics!$E$11)*($O$21-$O20))*((N38-N53)*$Q$22-2*(Statistics!$E$10-Statistics!$E$11)*($O$21-$O20))</f>
        <v>0</v>
      </c>
    </row>
    <row r="218" spans="1:16" ht="12.75">
      <c r="A218" s="29"/>
      <c r="B218" t="s">
        <v>85</v>
      </c>
      <c r="E218" s="367">
        <f>SUM(C206:N217)</f>
        <v>2.9093204961605567E+24</v>
      </c>
      <c r="F218" s="364"/>
      <c r="G218" s="364"/>
      <c r="I218" s="292" t="s">
        <v>189</v>
      </c>
      <c r="J218" s="373">
        <f>SUM(C206:N217)</f>
        <v>2.9093204961605567E+24</v>
      </c>
      <c r="K218" s="368"/>
      <c r="P218" s="126"/>
    </row>
    <row r="219" spans="8:9" ht="12.75">
      <c r="H219" s="126" t="s">
        <v>95</v>
      </c>
      <c r="I219" s="133">
        <f>(2/(Q22*Q22))*(SQRT(E218))</f>
        <v>0.011838243830513063</v>
      </c>
    </row>
    <row r="220" spans="8:9" ht="12.75">
      <c r="H220" s="126"/>
      <c r="I220" s="136"/>
    </row>
    <row r="221" ht="13.5" thickBot="1">
      <c r="A221" s="25" t="s">
        <v>97</v>
      </c>
    </row>
    <row r="222" spans="1:14" ht="13.5" thickBot="1">
      <c r="A222" s="29"/>
      <c r="B222" s="30"/>
      <c r="C222" s="31">
        <v>1</v>
      </c>
      <c r="D222" s="32">
        <f aca="true" t="shared" si="25" ref="D222:N222">C222+1</f>
        <v>2</v>
      </c>
      <c r="E222" s="32">
        <f t="shared" si="25"/>
        <v>3</v>
      </c>
      <c r="F222" s="32">
        <f t="shared" si="25"/>
        <v>4</v>
      </c>
      <c r="G222" s="32">
        <f t="shared" si="25"/>
        <v>5</v>
      </c>
      <c r="H222" s="32">
        <f t="shared" si="25"/>
        <v>6</v>
      </c>
      <c r="I222" s="32">
        <f t="shared" si="25"/>
        <v>7</v>
      </c>
      <c r="J222" s="32">
        <f t="shared" si="25"/>
        <v>8</v>
      </c>
      <c r="K222" s="32">
        <f t="shared" si="25"/>
        <v>9</v>
      </c>
      <c r="L222" s="32">
        <f t="shared" si="25"/>
        <v>10</v>
      </c>
      <c r="M222" s="32">
        <f t="shared" si="25"/>
        <v>11</v>
      </c>
      <c r="N222" s="33">
        <f t="shared" si="25"/>
        <v>12</v>
      </c>
    </row>
    <row r="223" spans="1:14" ht="12.75">
      <c r="A223" s="29"/>
      <c r="B223" s="264">
        <f>'Excerpt WDH'!B39</f>
      </c>
      <c r="C223" s="293">
        <f aca="true" t="shared" si="26" ref="C223:N234">C9*(2*$Q$24*(C27-C42)+$Q$27*($O9*$Q$23+C$21*$Q$22))*(2*$Q$24*(C27-C42)+$Q$27*($O9*$Q$23+C$21*$Q$22))</f>
        <v>0</v>
      </c>
      <c r="D223" s="294">
        <f t="shared" si="26"/>
        <v>0</v>
      </c>
      <c r="E223" s="294">
        <f t="shared" si="26"/>
        <v>0</v>
      </c>
      <c r="F223" s="294">
        <f t="shared" si="26"/>
        <v>0</v>
      </c>
      <c r="G223" s="294">
        <f t="shared" si="26"/>
        <v>0</v>
      </c>
      <c r="H223" s="294">
        <f t="shared" si="26"/>
        <v>0</v>
      </c>
      <c r="I223" s="294">
        <f t="shared" si="26"/>
        <v>0</v>
      </c>
      <c r="J223" s="294">
        <f t="shared" si="26"/>
        <v>0</v>
      </c>
      <c r="K223" s="294">
        <f t="shared" si="26"/>
        <v>0</v>
      </c>
      <c r="L223" s="294">
        <f t="shared" si="26"/>
        <v>0</v>
      </c>
      <c r="M223" s="294">
        <f t="shared" si="26"/>
        <v>0</v>
      </c>
      <c r="N223" s="301">
        <f t="shared" si="26"/>
        <v>0</v>
      </c>
    </row>
    <row r="224" spans="1:14" ht="12.75">
      <c r="A224" s="29"/>
      <c r="B224" s="264">
        <f>'Excerpt WDH'!B40</f>
        <v>10</v>
      </c>
      <c r="C224" s="295">
        <f t="shared" si="26"/>
        <v>2.25431395141939E+24</v>
      </c>
      <c r="D224" s="296">
        <f t="shared" si="26"/>
        <v>1.8127925934472017E+22</v>
      </c>
      <c r="E224" s="296">
        <f t="shared" si="26"/>
        <v>1.052366558092166E+24</v>
      </c>
      <c r="F224" s="296">
        <f t="shared" si="26"/>
        <v>0</v>
      </c>
      <c r="G224" s="296">
        <f t="shared" si="26"/>
        <v>0</v>
      </c>
      <c r="H224" s="296">
        <f t="shared" si="26"/>
        <v>0</v>
      </c>
      <c r="I224" s="296">
        <f t="shared" si="26"/>
        <v>0</v>
      </c>
      <c r="J224" s="296">
        <f t="shared" si="26"/>
        <v>0</v>
      </c>
      <c r="K224" s="296">
        <f t="shared" si="26"/>
        <v>0</v>
      </c>
      <c r="L224" s="296">
        <f t="shared" si="26"/>
        <v>0</v>
      </c>
      <c r="M224" s="296">
        <f t="shared" si="26"/>
        <v>0</v>
      </c>
      <c r="N224" s="297">
        <f t="shared" si="26"/>
        <v>0</v>
      </c>
    </row>
    <row r="225" spans="1:14" ht="12.75">
      <c r="A225" s="29"/>
      <c r="B225" s="264">
        <f>'Excerpt WDH'!B41</f>
        <v>9</v>
      </c>
      <c r="C225" s="295">
        <f t="shared" si="26"/>
        <v>1.1153595252104328E+24</v>
      </c>
      <c r="D225" s="296">
        <f t="shared" si="26"/>
        <v>7.763369945007104E+22</v>
      </c>
      <c r="E225" s="296">
        <f t="shared" si="26"/>
        <v>5.8116246674751886E+23</v>
      </c>
      <c r="F225" s="296">
        <f t="shared" si="26"/>
        <v>0</v>
      </c>
      <c r="G225" s="296">
        <f t="shared" si="26"/>
        <v>0</v>
      </c>
      <c r="H225" s="296">
        <f t="shared" si="26"/>
        <v>0</v>
      </c>
      <c r="I225" s="296">
        <f t="shared" si="26"/>
        <v>0</v>
      </c>
      <c r="J225" s="296">
        <f t="shared" si="26"/>
        <v>0</v>
      </c>
      <c r="K225" s="296">
        <f t="shared" si="26"/>
        <v>0</v>
      </c>
      <c r="L225" s="296">
        <f t="shared" si="26"/>
        <v>0</v>
      </c>
      <c r="M225" s="296">
        <f t="shared" si="26"/>
        <v>0</v>
      </c>
      <c r="N225" s="297">
        <f t="shared" si="26"/>
        <v>0</v>
      </c>
    </row>
    <row r="226" spans="1:14" ht="12.75">
      <c r="A226" s="29"/>
      <c r="B226" s="264">
        <f>'Excerpt WDH'!B42</f>
        <v>8</v>
      </c>
      <c r="C226" s="295">
        <f t="shared" si="26"/>
        <v>8.154693867500118E+21</v>
      </c>
      <c r="D226" s="296">
        <f t="shared" si="26"/>
        <v>5.273125548779994E+22</v>
      </c>
      <c r="E226" s="296">
        <f t="shared" si="26"/>
        <v>1.4962284693170031E+23</v>
      </c>
      <c r="F226" s="296">
        <f t="shared" si="26"/>
        <v>0</v>
      </c>
      <c r="G226" s="296">
        <f t="shared" si="26"/>
        <v>0</v>
      </c>
      <c r="H226" s="296">
        <f t="shared" si="26"/>
        <v>0</v>
      </c>
      <c r="I226" s="296">
        <f t="shared" si="26"/>
        <v>0</v>
      </c>
      <c r="J226" s="296">
        <f t="shared" si="26"/>
        <v>0</v>
      </c>
      <c r="K226" s="296">
        <f t="shared" si="26"/>
        <v>0</v>
      </c>
      <c r="L226" s="296">
        <f t="shared" si="26"/>
        <v>0</v>
      </c>
      <c r="M226" s="296">
        <f t="shared" si="26"/>
        <v>0</v>
      </c>
      <c r="N226" s="297">
        <f t="shared" si="26"/>
        <v>0</v>
      </c>
    </row>
    <row r="227" spans="1:17" ht="12.75">
      <c r="A227" s="29"/>
      <c r="B227" s="264">
        <f>'Excerpt WDH'!B43</f>
        <v>7</v>
      </c>
      <c r="C227" s="295">
        <f t="shared" si="26"/>
        <v>7.95174880992456E+23</v>
      </c>
      <c r="D227" s="296">
        <f t="shared" si="26"/>
        <v>9.953537277025511E+20</v>
      </c>
      <c r="E227" s="296">
        <f t="shared" si="26"/>
        <v>1.3054148106878044E+24</v>
      </c>
      <c r="F227" s="296">
        <f t="shared" si="26"/>
        <v>0</v>
      </c>
      <c r="G227" s="296">
        <f t="shared" si="26"/>
        <v>0</v>
      </c>
      <c r="H227" s="296">
        <f t="shared" si="26"/>
        <v>0</v>
      </c>
      <c r="I227" s="296">
        <f t="shared" si="26"/>
        <v>0</v>
      </c>
      <c r="J227" s="296">
        <f t="shared" si="26"/>
        <v>0</v>
      </c>
      <c r="K227" s="296">
        <f t="shared" si="26"/>
        <v>0</v>
      </c>
      <c r="L227" s="296">
        <f t="shared" si="26"/>
        <v>0</v>
      </c>
      <c r="M227" s="296">
        <f t="shared" si="26"/>
        <v>0</v>
      </c>
      <c r="N227" s="297">
        <f t="shared" si="26"/>
        <v>0</v>
      </c>
      <c r="Q227" s="162"/>
    </row>
    <row r="228" spans="1:14" ht="12.75">
      <c r="A228" s="29"/>
      <c r="B228" s="264">
        <f>'Excerpt WDH'!B44</f>
        <v>6</v>
      </c>
      <c r="C228" s="295">
        <f t="shared" si="26"/>
        <v>5.366047482599965E+23</v>
      </c>
      <c r="D228" s="296">
        <f t="shared" si="26"/>
        <v>5.279958538165064E+20</v>
      </c>
      <c r="E228" s="296">
        <f t="shared" si="26"/>
        <v>7.494589035765075E+23</v>
      </c>
      <c r="F228" s="296">
        <f t="shared" si="26"/>
        <v>0</v>
      </c>
      <c r="G228" s="296">
        <f t="shared" si="26"/>
        <v>0</v>
      </c>
      <c r="H228" s="296">
        <f t="shared" si="26"/>
        <v>0</v>
      </c>
      <c r="I228" s="296">
        <f t="shared" si="26"/>
        <v>0</v>
      </c>
      <c r="J228" s="296">
        <f t="shared" si="26"/>
        <v>0</v>
      </c>
      <c r="K228" s="296">
        <f t="shared" si="26"/>
        <v>0</v>
      </c>
      <c r="L228" s="296">
        <f t="shared" si="26"/>
        <v>0</v>
      </c>
      <c r="M228" s="296">
        <f t="shared" si="26"/>
        <v>0</v>
      </c>
      <c r="N228" s="297">
        <f t="shared" si="26"/>
        <v>0</v>
      </c>
    </row>
    <row r="229" spans="1:14" ht="12.75">
      <c r="A229" s="29"/>
      <c r="B229" s="264">
        <f>'Excerpt WDH'!B45</f>
        <v>5</v>
      </c>
      <c r="C229" s="295">
        <f t="shared" si="26"/>
        <v>6.430445728935332E+23</v>
      </c>
      <c r="D229" s="296">
        <f t="shared" si="26"/>
        <v>5.94456477449095E+20</v>
      </c>
      <c r="E229" s="296">
        <f t="shared" si="26"/>
        <v>4.557041347847955E+23</v>
      </c>
      <c r="F229" s="296">
        <f t="shared" si="26"/>
        <v>0</v>
      </c>
      <c r="G229" s="296">
        <f t="shared" si="26"/>
        <v>0</v>
      </c>
      <c r="H229" s="296">
        <f t="shared" si="26"/>
        <v>0</v>
      </c>
      <c r="I229" s="296">
        <f t="shared" si="26"/>
        <v>0</v>
      </c>
      <c r="J229" s="296">
        <f t="shared" si="26"/>
        <v>0</v>
      </c>
      <c r="K229" s="296">
        <f t="shared" si="26"/>
        <v>0</v>
      </c>
      <c r="L229" s="296">
        <f t="shared" si="26"/>
        <v>0</v>
      </c>
      <c r="M229" s="296">
        <f t="shared" si="26"/>
        <v>0</v>
      </c>
      <c r="N229" s="297">
        <f t="shared" si="26"/>
        <v>0</v>
      </c>
    </row>
    <row r="230" spans="1:14" ht="12.75">
      <c r="A230" s="29"/>
      <c r="B230" s="264">
        <f>'Excerpt WDH'!B46</f>
        <v>4</v>
      </c>
      <c r="C230" s="295">
        <f t="shared" si="26"/>
        <v>1.5574221007017766E+23</v>
      </c>
      <c r="D230" s="296">
        <f t="shared" si="26"/>
        <v>7.259579583647177E+19</v>
      </c>
      <c r="E230" s="296">
        <f t="shared" si="26"/>
        <v>1.0429970083172135E+23</v>
      </c>
      <c r="F230" s="296">
        <f t="shared" si="26"/>
        <v>0</v>
      </c>
      <c r="G230" s="296">
        <f t="shared" si="26"/>
        <v>0</v>
      </c>
      <c r="H230" s="296">
        <f t="shared" si="26"/>
        <v>0</v>
      </c>
      <c r="I230" s="296">
        <f t="shared" si="26"/>
        <v>0</v>
      </c>
      <c r="J230" s="296">
        <f t="shared" si="26"/>
        <v>0</v>
      </c>
      <c r="K230" s="296">
        <f t="shared" si="26"/>
        <v>0</v>
      </c>
      <c r="L230" s="296">
        <f t="shared" si="26"/>
        <v>0</v>
      </c>
      <c r="M230" s="296">
        <f t="shared" si="26"/>
        <v>0</v>
      </c>
      <c r="N230" s="297">
        <f t="shared" si="26"/>
        <v>0</v>
      </c>
    </row>
    <row r="231" spans="1:14" ht="12.75">
      <c r="A231" s="29"/>
      <c r="B231" s="264">
        <f>'Excerpt WDH'!B47</f>
        <v>3</v>
      </c>
      <c r="C231" s="295">
        <f t="shared" si="26"/>
        <v>9.905976582980189E+22</v>
      </c>
      <c r="D231" s="296">
        <f t="shared" si="26"/>
        <v>1.6376912948815127E+19</v>
      </c>
      <c r="E231" s="296">
        <f t="shared" si="26"/>
        <v>2.9154833944239736E+22</v>
      </c>
      <c r="F231" s="296">
        <f t="shared" si="26"/>
        <v>0</v>
      </c>
      <c r="G231" s="296">
        <f t="shared" si="26"/>
        <v>0</v>
      </c>
      <c r="H231" s="296">
        <f t="shared" si="26"/>
        <v>0</v>
      </c>
      <c r="I231" s="296">
        <f t="shared" si="26"/>
        <v>0</v>
      </c>
      <c r="J231" s="296">
        <f t="shared" si="26"/>
        <v>0</v>
      </c>
      <c r="K231" s="296">
        <f t="shared" si="26"/>
        <v>0</v>
      </c>
      <c r="L231" s="296">
        <f t="shared" si="26"/>
        <v>0</v>
      </c>
      <c r="M231" s="296">
        <f t="shared" si="26"/>
        <v>0</v>
      </c>
      <c r="N231" s="297">
        <f t="shared" si="26"/>
        <v>0</v>
      </c>
    </row>
    <row r="232" spans="1:14" ht="12.75">
      <c r="A232" s="29"/>
      <c r="B232" s="264">
        <f>'Excerpt WDH'!B48</f>
        <v>2</v>
      </c>
      <c r="C232" s="295">
        <f t="shared" si="26"/>
        <v>5.992835931219609E+22</v>
      </c>
      <c r="D232" s="296">
        <f t="shared" si="26"/>
        <v>8.716820290496292E+18</v>
      </c>
      <c r="E232" s="296">
        <f t="shared" si="26"/>
        <v>4.9241727264238065E+22</v>
      </c>
      <c r="F232" s="296">
        <f t="shared" si="26"/>
        <v>0</v>
      </c>
      <c r="G232" s="296">
        <f t="shared" si="26"/>
        <v>0</v>
      </c>
      <c r="H232" s="296">
        <f t="shared" si="26"/>
        <v>0</v>
      </c>
      <c r="I232" s="296">
        <f t="shared" si="26"/>
        <v>0</v>
      </c>
      <c r="J232" s="296">
        <f t="shared" si="26"/>
        <v>0</v>
      </c>
      <c r="K232" s="296">
        <f t="shared" si="26"/>
        <v>0</v>
      </c>
      <c r="L232" s="296">
        <f t="shared" si="26"/>
        <v>0</v>
      </c>
      <c r="M232" s="296">
        <f t="shared" si="26"/>
        <v>0</v>
      </c>
      <c r="N232" s="297">
        <f t="shared" si="26"/>
        <v>0</v>
      </c>
    </row>
    <row r="233" spans="1:14" ht="12.75">
      <c r="A233" s="29"/>
      <c r="B233" s="264">
        <f>'Excerpt WDH'!B49</f>
        <v>1</v>
      </c>
      <c r="C233" s="295">
        <f t="shared" si="26"/>
        <v>1.004655105228762E+22</v>
      </c>
      <c r="D233" s="296">
        <f t="shared" si="26"/>
        <v>8.274531446779525E+18</v>
      </c>
      <c r="E233" s="296">
        <f t="shared" si="26"/>
        <v>0</v>
      </c>
      <c r="F233" s="296">
        <f t="shared" si="26"/>
        <v>0</v>
      </c>
      <c r="G233" s="296">
        <f t="shared" si="26"/>
        <v>0</v>
      </c>
      <c r="H233" s="296">
        <f t="shared" si="26"/>
        <v>0</v>
      </c>
      <c r="I233" s="296">
        <f t="shared" si="26"/>
        <v>0</v>
      </c>
      <c r="J233" s="296">
        <f t="shared" si="26"/>
        <v>0</v>
      </c>
      <c r="K233" s="296">
        <f t="shared" si="26"/>
        <v>0</v>
      </c>
      <c r="L233" s="296">
        <f t="shared" si="26"/>
        <v>0</v>
      </c>
      <c r="M233" s="296">
        <f t="shared" si="26"/>
        <v>0</v>
      </c>
      <c r="N233" s="297">
        <f t="shared" si="26"/>
        <v>0</v>
      </c>
    </row>
    <row r="234" spans="1:14" ht="13.5" thickBot="1">
      <c r="A234" s="29"/>
      <c r="B234" s="264">
        <f>'Excerpt WDH'!B50</f>
        <v>0</v>
      </c>
      <c r="C234" s="70">
        <f t="shared" si="26"/>
        <v>6.049864009982012E+22</v>
      </c>
      <c r="D234" s="71">
        <f t="shared" si="26"/>
        <v>6.996482503403734E+18</v>
      </c>
      <c r="E234" s="71">
        <f t="shared" si="26"/>
        <v>1.9971120650792227E+22</v>
      </c>
      <c r="F234" s="71">
        <f t="shared" si="26"/>
        <v>0</v>
      </c>
      <c r="G234" s="71">
        <f t="shared" si="26"/>
        <v>0</v>
      </c>
      <c r="H234" s="71">
        <f t="shared" si="26"/>
        <v>0</v>
      </c>
      <c r="I234" s="71">
        <f t="shared" si="26"/>
        <v>0</v>
      </c>
      <c r="J234" s="71">
        <f t="shared" si="26"/>
        <v>0</v>
      </c>
      <c r="K234" s="71">
        <f t="shared" si="26"/>
        <v>0</v>
      </c>
      <c r="L234" s="71">
        <f t="shared" si="26"/>
        <v>0</v>
      </c>
      <c r="M234" s="71">
        <f t="shared" si="26"/>
        <v>0</v>
      </c>
      <c r="N234" s="72">
        <f t="shared" si="26"/>
        <v>0</v>
      </c>
    </row>
    <row r="235" spans="1:16" ht="12.75">
      <c r="A235" s="29"/>
      <c r="B235" t="s">
        <v>85</v>
      </c>
      <c r="E235" s="371">
        <f>SUM(C223:N234)</f>
        <v>1.0385048649993412E+25</v>
      </c>
      <c r="F235" s="372"/>
      <c r="G235" s="372"/>
      <c r="I235" s="292" t="s">
        <v>189</v>
      </c>
      <c r="J235" s="373">
        <f>SUM(C223:N234)</f>
        <v>1.0385048649993412E+25</v>
      </c>
      <c r="K235" s="368"/>
      <c r="P235" s="126"/>
    </row>
    <row r="236" spans="8:9" ht="12.75">
      <c r="H236" s="126" t="s">
        <v>98</v>
      </c>
      <c r="I236" s="171">
        <f>(1/(Q24*Q24))*SQRT(E235-N2*N2*N2*Q27*Q27*(Q22+Q23)*(Q22+Q23))</f>
        <v>0.01277977629566421</v>
      </c>
    </row>
    <row r="237" ht="12.75">
      <c r="I237" s="172"/>
    </row>
    <row r="238" spans="2:9" ht="12.75">
      <c r="B238" t="s">
        <v>126</v>
      </c>
      <c r="H238" s="126" t="s">
        <v>98</v>
      </c>
      <c r="I238" s="171">
        <f>SQRT((4*$N$2+10)/(9*$N$2*($N$2-1)))</f>
        <v>0.009749775675053694</v>
      </c>
    </row>
  </sheetData>
  <sheetProtection password="C550" sheet="1" objects="1" scenarios="1"/>
  <mergeCells count="15">
    <mergeCell ref="E235:G235"/>
    <mergeCell ref="J235:K235"/>
    <mergeCell ref="E218:G218"/>
    <mergeCell ref="J218:K218"/>
    <mergeCell ref="E167:G167"/>
    <mergeCell ref="E183:G183"/>
    <mergeCell ref="J183:K183"/>
    <mergeCell ref="E201:G201"/>
    <mergeCell ref="J201:K201"/>
    <mergeCell ref="E118:G118"/>
    <mergeCell ref="E134:G134"/>
    <mergeCell ref="E150:G150"/>
    <mergeCell ref="I69:K69"/>
    <mergeCell ref="I84:K84"/>
    <mergeCell ref="E100:H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Kalmijn</dc:creator>
  <cp:keywords/>
  <dc:description/>
  <cp:lastModifiedBy>W.M. Kalmijn</cp:lastModifiedBy>
  <cp:lastPrinted>2000-11-24T23:27:34Z</cp:lastPrinted>
  <dcterms:created xsi:type="dcterms:W3CDTF">2000-10-10T19:11:38Z</dcterms:created>
  <dcterms:modified xsi:type="dcterms:W3CDTF">2011-07-15T04:11:55Z</dcterms:modified>
  <cp:category/>
  <cp:version/>
  <cp:contentType/>
  <cp:contentStatus/>
</cp:coreProperties>
</file>