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50" activeTab="0"/>
  </bookViews>
  <sheets>
    <sheet name="Input" sheetId="1" r:id="rId1"/>
    <sheet name="Intro" sheetId="2" r:id="rId2"/>
    <sheet name="Output WDH" sheetId="3" r:id="rId3"/>
    <sheet name="Frequencies" sheetId="4" r:id="rId4"/>
    <sheet name="MulComp" sheetId="5" r:id="rId5"/>
    <sheet name="Means" sheetId="6" r:id="rId6"/>
    <sheet name="Convert" sheetId="7" r:id="rId7"/>
  </sheets>
  <definedNames>
    <definedName name="_xlfn.T.INV" hidden="1">#NAME?</definedName>
    <definedName name="_xlnm.Print_Area" localSheetId="0">'Input'!$A$1:$Q$67</definedName>
    <definedName name="_xlnm.Print_Area" localSheetId="5">'Means'!$A$80:$I$95</definedName>
    <definedName name="_xlnm.Print_Area" localSheetId="4">'MulComp'!$A:$O</definedName>
    <definedName name="_xlnm.Print_Area" localSheetId="2">'Output WDH'!$A$1:$M$91</definedName>
  </definedNames>
  <calcPr fullCalcOnLoad="1"/>
</workbook>
</file>

<file path=xl/sharedStrings.xml><?xml version="1.0" encoding="utf-8"?>
<sst xmlns="http://schemas.openxmlformats.org/spreadsheetml/2006/main" count="435" uniqueCount="284">
  <si>
    <t>SUM</t>
  </si>
  <si>
    <t>Type  input data</t>
  </si>
  <si>
    <t>INPUT MATRIX</t>
  </si>
  <si>
    <t>Total number of observations  N =</t>
  </si>
  <si>
    <t>3 = percentages  (sum of each row = 100 %)</t>
  </si>
  <si>
    <t>2 = percentages  (sum of all cells = 100 %)</t>
  </si>
  <si>
    <t>4 = percentages  (sum of each column = 100 %)</t>
  </si>
  <si>
    <t>Frq.</t>
  </si>
  <si>
    <t>Perc.</t>
  </si>
  <si>
    <t>ABSOLUTE FREQUENCIES</t>
  </si>
  <si>
    <t>VERY</t>
  </si>
  <si>
    <t>HAPPY</t>
  </si>
  <si>
    <t>UNHAPPY</t>
  </si>
  <si>
    <t>Happiness</t>
  </si>
  <si>
    <t>Sum of all 12 x 12 matrix cells =</t>
  </si>
  <si>
    <t>RECOMMENDATION:</t>
  </si>
  <si>
    <t xml:space="preserve">   Clear all  yellow input cells below before using this table.</t>
  </si>
  <si>
    <t>1 = absolute frequencies only</t>
  </si>
  <si>
    <t>ORIGIN</t>
  </si>
  <si>
    <t>(copied from input)</t>
  </si>
  <si>
    <t xml:space="preserve">  Number of observations</t>
  </si>
  <si>
    <t xml:space="preserve">  Minimum (r,c)</t>
  </si>
  <si>
    <t>AVERAGE  HAPPINESS AT  DIFFERENT CORRELATE LEVELS</t>
  </si>
  <si>
    <t>Correlate</t>
  </si>
  <si>
    <t xml:space="preserve">Average </t>
  </si>
  <si>
    <t>value</t>
  </si>
  <si>
    <t xml:space="preserve">Standard </t>
  </si>
  <si>
    <t>error</t>
  </si>
  <si>
    <t>lower</t>
  </si>
  <si>
    <t>upper</t>
  </si>
  <si>
    <t>TOTAL</t>
  </si>
  <si>
    <t>AVERAGE HAPPINESS VALUES  AND THEIR STANDARD DEVIATIONS:</t>
  </si>
  <si>
    <t>Number of</t>
  </si>
  <si>
    <t>observations</t>
  </si>
  <si>
    <t>Overall</t>
  </si>
  <si>
    <t>"Happiness" scale:</t>
  </si>
  <si>
    <t>Highest possible score</t>
  </si>
  <si>
    <t>Lowest possible score</t>
  </si>
  <si>
    <t>Transformation of happiness scores:</t>
  </si>
  <si>
    <t>Factor</t>
  </si>
  <si>
    <t xml:space="preserve">Term </t>
  </si>
  <si>
    <t>USING ORIGINAL SCALE OF MEASUREMENT:</t>
  </si>
  <si>
    <t xml:space="preserve">   AVERAGE  HAPPINESS AT  DIFFERENT CORRELATE LEVELS</t>
  </si>
  <si>
    <t xml:space="preserve">Number of levels of correlate  = </t>
  </si>
  <si>
    <t>Number of rows</t>
  </si>
  <si>
    <t>|</t>
  </si>
  <si>
    <t>^</t>
  </si>
  <si>
    <t>AFTER TRANSFORMATION ONTO A   [0;10]  SCALE:</t>
  </si>
  <si>
    <t xml:space="preserve">  Number of correlate levels (c)</t>
  </si>
  <si>
    <t xml:space="preserve">  Number of rows (r)</t>
  </si>
  <si>
    <t>Total  input absolute frequency =</t>
  </si>
  <si>
    <t>W.M. Kalmijn</t>
  </si>
  <si>
    <t>ORDERED  TRANSFORMED  MEANS:</t>
  </si>
  <si>
    <t>do</t>
  </si>
  <si>
    <t>cumul.</t>
  </si>
  <si>
    <t>Rank</t>
  </si>
  <si>
    <t xml:space="preserve">Rank </t>
  </si>
  <si>
    <t>MEANS  AFTER TRANSFORMATION ONTO A   [0;10]  SCALE:</t>
  </si>
  <si>
    <t>RANK</t>
  </si>
  <si>
    <t>s.e.m.</t>
  </si>
  <si>
    <t xml:space="preserve">           MULTIPLE COMPARISON OF  AVERAGE HAPPINESS  AT THE DIFFERENT CORRELATE LEVELS.</t>
  </si>
  <si>
    <t>NOTE:</t>
  </si>
  <si>
    <t>Although happiness scores are essentially measurements at the ordinal level,</t>
  </si>
  <si>
    <t>it is not uncommon to treat them as metric observations.</t>
  </si>
  <si>
    <t>are compared  and tested for significant differences between various correlate levels.</t>
  </si>
  <si>
    <t>In that case it is permitted  to compute average values and standard deviations, which</t>
  </si>
  <si>
    <t>Level</t>
  </si>
  <si>
    <t>SS</t>
  </si>
  <si>
    <t>df</t>
  </si>
  <si>
    <t>Between levels</t>
  </si>
  <si>
    <t>Within levels</t>
  </si>
  <si>
    <t>Total</t>
  </si>
  <si>
    <t>Source</t>
  </si>
  <si>
    <t>MS</t>
  </si>
  <si>
    <t>F</t>
  </si>
  <si>
    <t>ANOVA table</t>
  </si>
  <si>
    <t>------------------------------------------------------------------------------------------------------------------------------------------</t>
  </si>
  <si>
    <t>---------------------------------------------------------------------------------------------------</t>
  </si>
  <si>
    <t>--------------------------------------------------------------------------------------------------</t>
  </si>
  <si>
    <t>P1(F)=</t>
  </si>
  <si>
    <t xml:space="preserve">the 5 % significance level. This level refers to </t>
  </si>
  <si>
    <t xml:space="preserve"> not to individual</t>
  </si>
  <si>
    <t>the total package of statements of differences,</t>
  </si>
  <si>
    <t>SUM  = SUM  (n * ((average -general average)^2))   =</t>
  </si>
  <si>
    <t>FOR  CHECK:</t>
  </si>
  <si>
    <t>Checks:</t>
  </si>
  <si>
    <t>and</t>
  </si>
  <si>
    <t>statements on individual differences.  As a matter of fact, underlinings in single cells only should be ignored.</t>
  </si>
  <si>
    <t xml:space="preserve"> SS between  II = </t>
  </si>
  <si>
    <t xml:space="preserve">SS between   I = </t>
  </si>
  <si>
    <t xml:space="preserve">    SQRT(MSW) =</t>
  </si>
  <si>
    <t>FEATURES of this PROGRAMME.</t>
  </si>
  <si>
    <t xml:space="preserve">      transformed onto a [0;10]  scale.</t>
  </si>
  <si>
    <t>The correlate can be varied  at 12 levels as a maximum.</t>
  </si>
  <si>
    <t xml:space="preserve">      percentages together with the appropriate boundary total frequencies. The 'type'  of input has to be</t>
  </si>
  <si>
    <t xml:space="preserve">      specified  carefully.</t>
  </si>
  <si>
    <t xml:space="preserve">      confidence interval for the true but unknown mean happiness at that correlate level. This is made for</t>
  </si>
  <si>
    <t xml:space="preserve">      both the original and the transformed happiness scores (transformed onto a [0;10] scale) and the results</t>
  </si>
  <si>
    <t xml:space="preserve">      can be found on the "Means"  sheet.</t>
  </si>
  <si>
    <t>CONVERSION INTO ABSOLUTE FREQUENCIES:</t>
  </si>
  <si>
    <t xml:space="preserve">      Various other statistics are reported, which are all functions of the chi suared statistic only:</t>
  </si>
  <si>
    <t>--&gt;&gt;   CORRELATE  VALUE (LEVEL)  CODES</t>
  </si>
  <si>
    <t xml:space="preserve">  Standard deviation  </t>
  </si>
  <si>
    <t xml:space="preserve">Average value  </t>
  </si>
  <si>
    <t>value code</t>
  </si>
  <si>
    <t>Average value</t>
  </si>
  <si>
    <t>Correlate value level code.</t>
  </si>
  <si>
    <t>level code</t>
  </si>
  <si>
    <t>Reverted</t>
  </si>
  <si>
    <t>rank</t>
  </si>
  <si>
    <t>Linear transformation of y onto a [0;10]  (t-)scale:</t>
  </si>
  <si>
    <t>9 = input as  average value and standard deviation</t>
  </si>
  <si>
    <t xml:space="preserve">  Input type   (1/2/3/4/9)</t>
  </si>
  <si>
    <t xml:space="preserve">Score sum  </t>
  </si>
  <si>
    <t xml:space="preserve">      and Tschuprow's  T squared statistic.</t>
  </si>
  <si>
    <t xml:space="preserve">SSW  </t>
  </si>
  <si>
    <t xml:space="preserve">df   </t>
  </si>
  <si>
    <t xml:space="preserve">SSB  </t>
  </si>
  <si>
    <t xml:space="preserve">      the various levels of the correlate. The procedure is  based on Bonferroni's t-statistics.  For the total results</t>
  </si>
  <si>
    <t>Multiple pairwise comparisons on the basis of Bonferroni's t-statistics.</t>
  </si>
  <si>
    <t xml:space="preserve">Correlate level code  </t>
  </si>
  <si>
    <t xml:space="preserve">Absolute frequency  </t>
  </si>
  <si>
    <t xml:space="preserve">of happiness        </t>
  </si>
  <si>
    <t>CRITICAL VALUES  OF DIFFERENCES  BETWEEN TRANSFORMED  AVERAGE HAPPINESS SCORES:</t>
  </si>
  <si>
    <t>AFTER  LINEAR  TRANSFORMATION  ONTO  A   [0;10]  SCALE:</t>
  </si>
  <si>
    <t xml:space="preserve">  y - &gt; t(y) = factor *  y   + term</t>
  </si>
  <si>
    <t>SIGNIFICANCE of ETA SQUARED:</t>
  </si>
  <si>
    <t xml:space="preserve">F  =  </t>
  </si>
  <si>
    <t xml:space="preserve">P1  =  </t>
  </si>
  <si>
    <t xml:space="preserve">(do)   </t>
  </si>
  <si>
    <t xml:space="preserve">   Eta squared =</t>
  </si>
  <si>
    <t xml:space="preserve">      also a One Way Analysis of Variance  table is given.  This also gives the value of eta squared, which is</t>
  </si>
  <si>
    <t xml:space="preserve">      the fraction of the total variability in the measured happiness for which variation  in the correlate is</t>
  </si>
  <si>
    <t xml:space="preserve">Number of levels of correlate  =  </t>
  </si>
  <si>
    <t xml:space="preserve">Number of observations   (N)  =  </t>
  </si>
  <si>
    <t xml:space="preserve">Eta squared  =  </t>
  </si>
  <si>
    <t>input</t>
  </si>
  <si>
    <t xml:space="preserve">      Moreover he programme allows to compute the P1-value for a given value of eta squared, provided the total</t>
  </si>
  <si>
    <t xml:space="preserve">      number of observations (N) and the number of correlate levels are entered (sheet "Input").</t>
  </si>
  <si>
    <t>on the sheets "Means"  and  "MulComp"  has been done. The average happiness  values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</si>
  <si>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</si>
  <si>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</si>
  <si>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</si>
  <si>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</si>
  <si>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</si>
  <si>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</si>
  <si>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</si>
  <si>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</si>
  <si>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</si>
  <si>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</si>
  <si>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</si>
  <si>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level</t>
  </si>
  <si>
    <t xml:space="preserve">          Correlate</t>
  </si>
  <si>
    <t>code</t>
  </si>
  <si>
    <t xml:space="preserve">Number of subjects studied </t>
  </si>
  <si>
    <t>"Happiness" scale  (vertical):</t>
  </si>
  <si>
    <t xml:space="preserve">   Highest possible score</t>
  </si>
  <si>
    <t xml:space="preserve">   Lowest possible score</t>
  </si>
  <si>
    <t>File name (study code):</t>
  </si>
  <si>
    <t xml:space="preserve">   Number of  columns (levels)</t>
  </si>
  <si>
    <t xml:space="preserve">   Specification:</t>
  </si>
  <si>
    <t>INPUT AS  CROSS TABULATION OF OBSERVED FREQUENCIES:</t>
  </si>
  <si>
    <t>(Type of input data code 1, 2, 3, or 4)</t>
  </si>
  <si>
    <t>(Type of input data code = 9)</t>
  </si>
  <si>
    <t>Correlate (independent) variable (horizontal):</t>
  </si>
  <si>
    <t>INPUT  AS   AVERAGE  HAPPINESS SCORE AND STANDARD DEVIATION PER "CLASS":</t>
  </si>
  <si>
    <t xml:space="preserve">   Number of rows (maximum 12)</t>
  </si>
  <si>
    <t>WORLD  DATABASE  OF HAPPINESS           CORRELATIONAL    FINDINGS</t>
  </si>
  <si>
    <t xml:space="preserve">      This input  is acceptable in various forms:  as absolute frequencies, as as total, as horiontal or as vertical</t>
  </si>
  <si>
    <t xml:space="preserve">      The input has to be entered on the worksheet "Excerpt WDH".</t>
  </si>
  <si>
    <t xml:space="preserve">      Phi coëfficient, Phi squared,  Pearson's  Contingency Coëfficient C,  Cramér's V, Cramér's V squared,</t>
  </si>
  <si>
    <t xml:space="preserve">      The worksheet "Convert"  enables to calculate any of those statistics from any other one.</t>
  </si>
  <si>
    <t>2.   All sheets are protected, except the yellow coloured  input cells.  Output cells have a green colour.</t>
  </si>
  <si>
    <r>
      <t>Two or more average happiness  ratings with a common underlining (-------- --------) do</t>
    </r>
    <r>
      <rPr>
        <b/>
        <sz val="10"/>
        <color indexed="39"/>
        <rFont val="Arial"/>
        <family val="2"/>
      </rPr>
      <t xml:space="preserve"> </t>
    </r>
    <r>
      <rPr>
        <sz val="10"/>
        <color indexed="39"/>
        <rFont val="Arial"/>
        <family val="2"/>
      </rPr>
      <t>NOT differ significantly at the</t>
    </r>
  </si>
  <si>
    <t xml:space="preserve">            Correlate</t>
  </si>
  <si>
    <t>n</t>
  </si>
  <si>
    <t>average</t>
  </si>
  <si>
    <t>4.   The happiness measurements are possible on scales up to 12 points, but eventually the scores  are</t>
  </si>
  <si>
    <t>3.   It also possible to enter the data  as the combination of {number of respondents, average happiness score,</t>
  </si>
  <si>
    <t xml:space="preserve">      standard deviation within that correlate level} for each  correlate level separately; then type of input = 9.</t>
  </si>
  <si>
    <t>Level of measurement:</t>
  </si>
  <si>
    <t>Added spreadsheet  for findings.</t>
  </si>
  <si>
    <t>Happiness: (pseudo-)metric</t>
  </si>
  <si>
    <t xml:space="preserve">      Although hapiness is measured at the ordinal level of measurement, the results are treated as if they have</t>
  </si>
  <si>
    <t xml:space="preserve">      been obtained as results of the metric(interval) level, which is expressed as "(pseudo-)metric".</t>
  </si>
  <si>
    <t xml:space="preserve">      nonmetric  level.</t>
  </si>
  <si>
    <t>1.   This programme has been devised for the analysis of  studies in which the correlate is measured at the</t>
  </si>
  <si>
    <t xml:space="preserve">   ASSOCIATION MEASURES in CROSS TABULATIONS  (CORRELATES at the NONMETRIC  LEVEL).</t>
  </si>
  <si>
    <t>6.   The sheet  "MulComp"  allows to apply a multiple comparison procedure to the mean happiness scores at</t>
  </si>
  <si>
    <t>Correlate: nonmetric</t>
  </si>
  <si>
    <t>The programme has been devised  for correlates that are measured at the</t>
  </si>
  <si>
    <t xml:space="preserve">      nominal level of measurement,  but it is applicable to "ordinal"  correlates as well.</t>
  </si>
  <si>
    <t xml:space="preserve">      accountable.</t>
  </si>
  <si>
    <t>rating</t>
  </si>
  <si>
    <t>Original "Happiness" scale:</t>
  </si>
  <si>
    <t>Frequency</t>
  </si>
  <si>
    <t>Percentage</t>
  </si>
  <si>
    <t xml:space="preserve">h1 = </t>
  </si>
  <si>
    <t xml:space="preserve">u1 = </t>
  </si>
  <si>
    <t xml:space="preserve">Reverse scale ?  </t>
  </si>
  <si>
    <t xml:space="preserve">      Correlate</t>
  </si>
  <si>
    <t xml:space="preserve">     RELEVANT RESULTS TO BE INCLUDED INTO THE EXCERPT.</t>
  </si>
  <si>
    <t xml:space="preserve">        CONVERSION  of  ASSOCIATION MEASURES  in CROSS TABULATIONS.</t>
  </si>
  <si>
    <t>FEATURES OF THIS PROGRAMME.</t>
  </si>
  <si>
    <t>1.  The programme is applicable to cross tabulations when at least one variable</t>
  </si>
  <si>
    <t>3.  The programme computes the right hand tail probability (P1-value) of chi squared</t>
  </si>
  <si>
    <t>5.  The programme gives error messages if</t>
  </si>
  <si>
    <t xml:space="preserve">     - the numbers of rows and/or columns are &lt; 2,  and/or if</t>
  </si>
  <si>
    <t xml:space="preserve">     - the number of observations is less than the number of cells.</t>
  </si>
  <si>
    <t xml:space="preserve">     In cases of those errors the output is unreliable  !</t>
  </si>
  <si>
    <t>DATA SET:</t>
  </si>
  <si>
    <t xml:space="preserve">     INPUT:</t>
  </si>
  <si>
    <t xml:space="preserve">   OUTPUT:</t>
  </si>
  <si>
    <t>Total number of observations  [N]</t>
  </si>
  <si>
    <t>Number of rows [r; r&gt;1]</t>
  </si>
  <si>
    <t>Number of columns  [c; c&gt;1]]</t>
  </si>
  <si>
    <t>ASSOCIATION MEASURES [and their range]:</t>
  </si>
  <si>
    <t>If two or more measures are entered, the programme selects the strongest association.</t>
  </si>
  <si>
    <t>Pearson's Contingency Coefficient  C                       [0; &lt; 1]</t>
  </si>
  <si>
    <t>Cramér's V                                                               [0 ; 1]</t>
  </si>
  <si>
    <t xml:space="preserve">     (the correlate II) is measured at the nominal level  !</t>
  </si>
  <si>
    <t>2.  Given one association statistic, the programme computes  seven other measures.</t>
  </si>
  <si>
    <t xml:space="preserve">     value as a test on the null hypothesis that there is no association at all.</t>
  </si>
  <si>
    <t xml:space="preserve">     This P1-value applies to all other association statistics as well.</t>
  </si>
  <si>
    <t>4.  P1-values are given not only in the "usual" (decimal) format, but also in the scientific or:</t>
  </si>
  <si>
    <t xml:space="preserve">     - if an association statistic value is entered that exceeds its theoretically maximum value and/or if</t>
  </si>
  <si>
    <t>6.  All cells are protected, except the (yellow) input cells.</t>
  </si>
  <si>
    <t xml:space="preserve">  P1-value  of χ²</t>
  </si>
  <si>
    <t>Min (c,r)</t>
  </si>
  <si>
    <r>
      <t>Recommendation</t>
    </r>
    <r>
      <rPr>
        <sz val="10"/>
        <rFont val="Arial"/>
        <family val="0"/>
      </rPr>
      <t>: clear the next 8 yellow cells in column B before entering  a  value.</t>
    </r>
  </si>
  <si>
    <r>
      <t>Phi coefficient   (</t>
    </r>
    <r>
      <rPr>
        <sz val="10"/>
        <rFont val="Arial"/>
        <family val="0"/>
      </rPr>
      <t>φ</t>
    </r>
    <r>
      <rPr>
        <sz val="10"/>
        <rFont val="Arial"/>
        <family val="2"/>
      </rPr>
      <t>)</t>
    </r>
  </si>
  <si>
    <r>
      <t>Phi squared (</t>
    </r>
    <r>
      <rPr>
        <sz val="10"/>
        <rFont val="Arial"/>
        <family val="0"/>
      </rPr>
      <t>φ</t>
    </r>
    <r>
      <rPr>
        <sz val="10"/>
        <rFont val="Arial"/>
        <family val="2"/>
      </rPr>
      <t>²)                                            [0; min(c,r)-1]</t>
    </r>
  </si>
  <si>
    <t>Cramér's V squared (V²)                                            [0 ; 1]</t>
  </si>
  <si>
    <t xml:space="preserve">Tschuprow's T                                                      [0; &lt;= 1] </t>
  </si>
  <si>
    <t>Tschuprow's T squared  (T²)                                   [0; &lt;= 1]</t>
  </si>
  <si>
    <t>Chi squared   (χ²)                                                      [0; ∞)</t>
  </si>
  <si>
    <t>Degrees of freedom of  χ²</t>
  </si>
  <si>
    <t xml:space="preserve">Chi squared  (χ²) </t>
  </si>
  <si>
    <t>W.M. Kalmijn, 2005-06-29</t>
  </si>
  <si>
    <t>8.   For testing the null hypothesis that there is no association at all, (too) often a chi squared test is applied.</t>
  </si>
  <si>
    <t xml:space="preserve">F  </t>
  </si>
  <si>
    <t xml:space="preserve">The average happiness  values have been computed and compared. If appropriate, </t>
  </si>
  <si>
    <t>In that case it is admisssible to compute average values and standard deviations.</t>
  </si>
  <si>
    <t>a test has been performed for significant differences between various correlate levels.</t>
  </si>
  <si>
    <t xml:space="preserve">Study code: </t>
  </si>
  <si>
    <t xml:space="preserve">   Reverse scale ?  No = 0, Yes = 1</t>
  </si>
  <si>
    <t xml:space="preserve">CONCLUSION:  </t>
  </si>
  <si>
    <t xml:space="preserve">Label/name of the correlate:   </t>
  </si>
  <si>
    <t>onto a [0;10]scale</t>
  </si>
  <si>
    <t>After linear transformation</t>
  </si>
  <si>
    <t xml:space="preserve"> 2007-05-21</t>
  </si>
  <si>
    <t>(number of columns)</t>
  </si>
  <si>
    <t>AVERAGE  HAPPINESS AT  THE   DIFFERENT CORRELATE LEVELS</t>
  </si>
  <si>
    <t xml:space="preserve"> (excluding DK/NA)</t>
  </si>
  <si>
    <t>WARNING(S):</t>
  </si>
  <si>
    <t>©</t>
  </si>
  <si>
    <t>90 % confidence limit</t>
  </si>
  <si>
    <t xml:space="preserve">   (C, A) &lt; B</t>
  </si>
  <si>
    <t xml:space="preserve">the 10 % significance level. This level refers to </t>
  </si>
  <si>
    <t>7.   The sheet F-value computes the P1-value of a given F-value; if P1&lt;0,001, this is reported as such.</t>
  </si>
  <si>
    <t>Time of measurement</t>
  </si>
  <si>
    <t xml:space="preserve">Overall confidence level: </t>
  </si>
  <si>
    <t xml:space="preserve">Confidence level = </t>
  </si>
  <si>
    <t xml:space="preserve">   confidence limits</t>
  </si>
  <si>
    <t>=</t>
  </si>
  <si>
    <t>P21</t>
  </si>
  <si>
    <t xml:space="preserve">Overall condidence level = </t>
  </si>
  <si>
    <t>with a confidence of at least</t>
  </si>
  <si>
    <t>confidence limits</t>
  </si>
  <si>
    <t xml:space="preserve">Overall confidence level (either 95 or 90%)   </t>
  </si>
  <si>
    <t>%</t>
  </si>
  <si>
    <r>
      <t xml:space="preserve">(i.e. the </t>
    </r>
    <r>
      <rPr>
        <b/>
        <sz val="10"/>
        <rFont val="Arial"/>
        <family val="2"/>
      </rPr>
      <t>effective</t>
    </r>
    <r>
      <rPr>
        <sz val="10"/>
        <rFont val="Arial"/>
        <family val="2"/>
      </rPr>
      <t xml:space="preserve"> sample size).</t>
    </r>
  </si>
  <si>
    <t>W.M. Kalmijn 2011-12-09</t>
  </si>
  <si>
    <t xml:space="preserve">     "E-format" if their value &lt; 0,001,  in which e.g. 0,000452 is written as 4,52E-04</t>
  </si>
  <si>
    <t xml:space="preserve">5.   For each level of the correlate, the programme calculates the mean happiness score and a 95 or 90 % </t>
  </si>
  <si>
    <t>10812 F</t>
  </si>
  <si>
    <t>FT work; PT unpaid work</t>
  </si>
  <si>
    <t>Long work; PT unpaid work</t>
  </si>
  <si>
    <t>FT unpaid work</t>
  </si>
  <si>
    <t>FT paid work; FT unpaid work</t>
  </si>
  <si>
    <t>PT paid work; PT unpaid work</t>
  </si>
  <si>
    <t>PT or no (paid) work; FT unpaid work</t>
  </si>
  <si>
    <t>Leisure rich</t>
  </si>
  <si>
    <t>FT education/training</t>
  </si>
</sst>
</file>

<file path=xl/styles.xml><?xml version="1.0" encoding="utf-8"?>
<styleSheet xmlns="http://schemas.openxmlformats.org/spreadsheetml/2006/main">
  <numFmts count="7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&quot;fl&quot;\ #,##0_-;&quot;fl&quot;\ #,##0\-"/>
    <numFmt numFmtId="201" formatCode="&quot;fl&quot;\ #,##0_-;[Red]&quot;fl&quot;\ #,##0\-"/>
    <numFmt numFmtId="202" formatCode="&quot;fl&quot;\ #,##0.00_-;&quot;fl&quot;\ #,##0.00\-"/>
    <numFmt numFmtId="203" formatCode="&quot;fl&quot;\ #,##0.00_-;[Red]&quot;fl&quot;\ #,##0.00\-"/>
    <numFmt numFmtId="204" formatCode="_-&quot;fl&quot;\ * #,##0_-;_-&quot;fl&quot;\ * #,##0\-;_-&quot;fl&quot;\ * &quot;-&quot;_-;_-@_-"/>
    <numFmt numFmtId="205" formatCode="_-&quot;fl&quot;\ * #,##0.00_-;_-&quot;fl&quot;\ * #,##0.00\-;_-&quot;fl&quot;\ * &quot;-&quot;??_-;_-@_-"/>
    <numFmt numFmtId="206" formatCode="&quot;fl&quot;\ #,##0_);\(&quot;fl&quot;\ #,##0\)"/>
    <numFmt numFmtId="207" formatCode="&quot;fl&quot;\ #,##0_);[Red]\(&quot;fl&quot;\ #,##0\)"/>
    <numFmt numFmtId="208" formatCode="&quot;fl&quot;\ #,##0.00_);\(&quot;fl&quot;\ #,##0.00\)"/>
    <numFmt numFmtId="209" formatCode="&quot;fl&quot;\ #,##0.00_);[Red]\(&quot;fl&quot;\ #,##0.00\)"/>
    <numFmt numFmtId="210" formatCode="_(&quot;fl&quot;\ * #,##0_);_(&quot;fl&quot;\ * \(#,##0\);_(&quot;fl&quot;\ * &quot;-&quot;_);_(@_)"/>
    <numFmt numFmtId="211" formatCode="_(&quot;fl&quot;\ * #,##0.00_);_(&quot;fl&quot;\ * \(#,##0.00\);_(&quot;fl&quot;\ * &quot;-&quot;??_);_(@_)"/>
    <numFmt numFmtId="212" formatCode="0.0"/>
    <numFmt numFmtId="213" formatCode="0.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"/>
    <numFmt numFmtId="220" formatCode="0.0000E+00;\樠"/>
    <numFmt numFmtId="221" formatCode="0.0000E+00;\댴"/>
    <numFmt numFmtId="222" formatCode="0.000E+00;\댴"/>
    <numFmt numFmtId="223" formatCode="0.00E+00;\댴"/>
    <numFmt numFmtId="224" formatCode="0.0E+00"/>
    <numFmt numFmtId="225" formatCode="#,##0.0"/>
    <numFmt numFmtId="226" formatCode=";;"/>
    <numFmt numFmtId="227" formatCode="#,##0.0000"/>
  </numFmts>
  <fonts count="66">
    <font>
      <sz val="10"/>
      <name val="Arial"/>
      <family val="0"/>
    </font>
    <font>
      <sz val="10"/>
      <color indexed="39"/>
      <name val="Arial"/>
      <family val="2"/>
    </font>
    <font>
      <b/>
      <sz val="10"/>
      <name val="Arial"/>
      <family val="2"/>
    </font>
    <font>
      <b/>
      <sz val="10"/>
      <color indexed="3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34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39"/>
      <name val="Arial"/>
      <family val="2"/>
    </font>
    <font>
      <sz val="9"/>
      <name val="Arial"/>
      <family val="2"/>
    </font>
    <font>
      <b/>
      <sz val="12"/>
      <color indexed="34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10"/>
      <name val="Arial"/>
      <family val="2"/>
    </font>
    <font>
      <sz val="10"/>
      <name val="Arial Narrow"/>
      <family val="2"/>
    </font>
    <font>
      <sz val="8"/>
      <color indexed="39"/>
      <name val="Arial"/>
      <family val="2"/>
    </font>
    <font>
      <b/>
      <sz val="10"/>
      <color indexed="12"/>
      <name val="Arial"/>
      <family val="0"/>
    </font>
    <font>
      <b/>
      <sz val="14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0" xfId="0" applyFont="1" applyAlignment="1">
      <alignment/>
    </xf>
    <xf numFmtId="3" fontId="0" fillId="35" borderId="14" xfId="0" applyNumberFormat="1" applyFill="1" applyBorder="1" applyAlignment="1">
      <alignment/>
    </xf>
    <xf numFmtId="218" fontId="0" fillId="35" borderId="1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35" borderId="15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218" fontId="0" fillId="35" borderId="20" xfId="0" applyNumberFormat="1" applyFill="1" applyBorder="1" applyAlignment="1">
      <alignment horizontal="center"/>
    </xf>
    <xf numFmtId="1" fontId="0" fillId="35" borderId="20" xfId="0" applyNumberFormat="1" applyFont="1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2" fontId="0" fillId="35" borderId="21" xfId="0" applyNumberFormat="1" applyFill="1" applyBorder="1" applyAlignment="1">
      <alignment horizontal="center"/>
    </xf>
    <xf numFmtId="2" fontId="0" fillId="35" borderId="22" xfId="0" applyNumberFormat="1" applyFill="1" applyBorder="1" applyAlignment="1">
      <alignment horizontal="center"/>
    </xf>
    <xf numFmtId="218" fontId="0" fillId="35" borderId="22" xfId="0" applyNumberFormat="1" applyFill="1" applyBorder="1" applyAlignment="1">
      <alignment horizontal="center"/>
    </xf>
    <xf numFmtId="1" fontId="0" fillId="35" borderId="22" xfId="0" applyNumberFormat="1" applyFont="1" applyFill="1" applyBorder="1" applyAlignment="1">
      <alignment horizontal="center"/>
    </xf>
    <xf numFmtId="2" fontId="0" fillId="35" borderId="23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35" borderId="26" xfId="0" applyNumberForma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2" fontId="0" fillId="35" borderId="28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18" fontId="0" fillId="0" borderId="12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18" fontId="0" fillId="0" borderId="37" xfId="0" applyNumberForma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8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34" borderId="38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9" fontId="0" fillId="0" borderId="0" xfId="0" applyNumberFormat="1" applyAlignment="1">
      <alignment horizontal="left"/>
    </xf>
    <xf numFmtId="218" fontId="0" fillId="35" borderId="20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0" borderId="0" xfId="0" applyNumberFormat="1" applyAlignment="1">
      <alignment/>
    </xf>
    <xf numFmtId="1" fontId="3" fillId="34" borderId="38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9" fillId="0" borderId="0" xfId="0" applyNumberFormat="1" applyFont="1" applyAlignment="1">
      <alignment/>
    </xf>
    <xf numFmtId="1" fontId="0" fillId="0" borderId="3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0" fillId="0" borderId="39" xfId="0" applyNumberFormat="1" applyBorder="1" applyAlignment="1">
      <alignment/>
    </xf>
    <xf numFmtId="0" fontId="0" fillId="0" borderId="40" xfId="0" applyBorder="1" applyAlignment="1">
      <alignment horizontal="left"/>
    </xf>
    <xf numFmtId="0" fontId="0" fillId="0" borderId="12" xfId="0" applyFill="1" applyBorder="1" applyAlignment="1">
      <alignment horizontal="left"/>
    </xf>
    <xf numFmtId="1" fontId="0" fillId="0" borderId="29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35" borderId="42" xfId="0" applyNumberFormat="1" applyFont="1" applyFill="1" applyBorder="1" applyAlignment="1" applyProtection="1">
      <alignment horizontal="center"/>
      <protection/>
    </xf>
    <xf numFmtId="2" fontId="0" fillId="35" borderId="17" xfId="0" applyNumberFormat="1" applyFont="1" applyFill="1" applyBorder="1" applyAlignment="1" applyProtection="1">
      <alignment horizontal="center"/>
      <protection/>
    </xf>
    <xf numFmtId="2" fontId="0" fillId="35" borderId="18" xfId="0" applyNumberFormat="1" applyFont="1" applyFill="1" applyBorder="1" applyAlignment="1" applyProtection="1">
      <alignment horizontal="center"/>
      <protection/>
    </xf>
    <xf numFmtId="218" fontId="0" fillId="0" borderId="10" xfId="0" applyNumberFormat="1" applyFill="1" applyBorder="1" applyAlignment="1" applyProtection="1">
      <alignment horizontal="center"/>
      <protection/>
    </xf>
    <xf numFmtId="213" fontId="0" fillId="35" borderId="43" xfId="0" applyNumberFormat="1" applyFont="1" applyFill="1" applyBorder="1" applyAlignment="1" applyProtection="1">
      <alignment horizontal="center"/>
      <protection/>
    </xf>
    <xf numFmtId="213" fontId="0" fillId="35" borderId="44" xfId="0" applyNumberFormat="1" applyFont="1" applyFill="1" applyBorder="1" applyAlignment="1" applyProtection="1">
      <alignment horizontal="center"/>
      <protection/>
    </xf>
    <xf numFmtId="213" fontId="0" fillId="35" borderId="45" xfId="0" applyNumberFormat="1" applyFont="1" applyFill="1" applyBorder="1" applyAlignment="1" applyProtection="1">
      <alignment horizontal="center"/>
      <protection/>
    </xf>
    <xf numFmtId="213" fontId="0" fillId="35" borderId="14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3" fontId="0" fillId="0" borderId="0" xfId="0" applyNumberFormat="1" applyFont="1" applyFill="1" applyAlignment="1" applyProtection="1">
      <alignment/>
      <protection/>
    </xf>
    <xf numFmtId="3" fontId="0" fillId="35" borderId="46" xfId="0" applyNumberFormat="1" applyFont="1" applyFill="1" applyBorder="1" applyAlignment="1" applyProtection="1">
      <alignment horizontal="center"/>
      <protection/>
    </xf>
    <xf numFmtId="0" fontId="0" fillId="35" borderId="47" xfId="0" applyFont="1" applyFill="1" applyBorder="1" applyAlignment="1" applyProtection="1">
      <alignment horizontal="center"/>
      <protection locked="0"/>
    </xf>
    <xf numFmtId="0" fontId="0" fillId="35" borderId="48" xfId="0" applyFont="1" applyFill="1" applyBorder="1" applyAlignment="1" applyProtection="1">
      <alignment horizontal="center"/>
      <protection locked="0"/>
    </xf>
    <xf numFmtId="0" fontId="0" fillId="35" borderId="46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" fillId="35" borderId="14" xfId="0" applyNumberFormat="1" applyFont="1" applyFill="1" applyBorder="1" applyAlignment="1" applyProtection="1">
      <alignment horizontal="center"/>
      <protection/>
    </xf>
    <xf numFmtId="1" fontId="2" fillId="35" borderId="44" xfId="0" applyNumberFormat="1" applyFont="1" applyFill="1" applyBorder="1" applyAlignment="1" applyProtection="1">
      <alignment horizontal="center"/>
      <protection/>
    </xf>
    <xf numFmtId="1" fontId="2" fillId="35" borderId="43" xfId="0" applyNumberFormat="1" applyFont="1" applyFill="1" applyBorder="1" applyAlignment="1" applyProtection="1">
      <alignment horizontal="center"/>
      <protection/>
    </xf>
    <xf numFmtId="1" fontId="2" fillId="35" borderId="49" xfId="0" applyNumberFormat="1" applyFont="1" applyFill="1" applyBorder="1" applyAlignment="1" applyProtection="1">
      <alignment horizontal="center"/>
      <protection/>
    </xf>
    <xf numFmtId="1" fontId="2" fillId="35" borderId="42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/>
      <protection/>
    </xf>
    <xf numFmtId="1" fontId="2" fillId="0" borderId="21" xfId="0" applyNumberFormat="1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Alignment="1" quotePrefix="1">
      <alignment/>
    </xf>
    <xf numFmtId="0" fontId="0" fillId="0" borderId="44" xfId="0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36" borderId="4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/>
    </xf>
    <xf numFmtId="0" fontId="0" fillId="0" borderId="53" xfId="0" applyBorder="1" applyAlignment="1">
      <alignment horizontal="right"/>
    </xf>
    <xf numFmtId="213" fontId="0" fillId="0" borderId="14" xfId="0" applyNumberFormat="1" applyFont="1" applyFill="1" applyBorder="1" applyAlignment="1" applyProtection="1">
      <alignment horizontal="center"/>
      <protection/>
    </xf>
    <xf numFmtId="213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1" fontId="0" fillId="0" borderId="30" xfId="0" applyNumberFormat="1" applyFill="1" applyBorder="1" applyAlignment="1">
      <alignment horizontal="right"/>
    </xf>
    <xf numFmtId="218" fontId="0" fillId="35" borderId="19" xfId="0" applyNumberFormat="1" applyFont="1" applyFill="1" applyBorder="1" applyAlignment="1">
      <alignment horizontal="center"/>
    </xf>
    <xf numFmtId="3" fontId="0" fillId="35" borderId="17" xfId="0" applyNumberFormat="1" applyFill="1" applyBorder="1" applyAlignment="1">
      <alignment/>
    </xf>
    <xf numFmtId="2" fontId="0" fillId="35" borderId="17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3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54" xfId="0" applyFont="1" applyBorder="1" applyAlignment="1">
      <alignment/>
    </xf>
    <xf numFmtId="0" fontId="0" fillId="0" borderId="56" xfId="0" applyBorder="1" applyAlignment="1">
      <alignment/>
    </xf>
    <xf numFmtId="0" fontId="0" fillId="0" borderId="37" xfId="0" applyBorder="1" applyAlignment="1">
      <alignment/>
    </xf>
    <xf numFmtId="0" fontId="0" fillId="0" borderId="57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0" fillId="0" borderId="51" xfId="0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/>
    </xf>
    <xf numFmtId="2" fontId="0" fillId="0" borderId="14" xfId="0" applyNumberFormat="1" applyFont="1" applyFill="1" applyBorder="1" applyAlignment="1" applyProtection="1">
      <alignment horizontal="center"/>
      <protection/>
    </xf>
    <xf numFmtId="218" fontId="0" fillId="0" borderId="24" xfId="0" applyNumberFormat="1" applyFill="1" applyBorder="1" applyAlignment="1" applyProtection="1">
      <alignment horizontal="center"/>
      <protection/>
    </xf>
    <xf numFmtId="1" fontId="0" fillId="35" borderId="4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" fontId="0" fillId="35" borderId="17" xfId="0" applyNumberFormat="1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7" fillId="0" borderId="44" xfId="0" applyFont="1" applyFill="1" applyBorder="1" applyAlignment="1" applyProtection="1">
      <alignment/>
      <protection/>
    </xf>
    <xf numFmtId="0" fontId="7" fillId="0" borderId="43" xfId="0" applyFont="1" applyFill="1" applyBorder="1" applyAlignment="1" applyProtection="1">
      <alignment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48" xfId="0" applyFont="1" applyFill="1" applyBorder="1" applyAlignment="1" applyProtection="1">
      <alignment horizontal="center"/>
      <protection/>
    </xf>
    <xf numFmtId="1" fontId="0" fillId="0" borderId="44" xfId="0" applyNumberFormat="1" applyFont="1" applyFill="1" applyBorder="1" applyAlignment="1" applyProtection="1">
      <alignment horizontal="center"/>
      <protection/>
    </xf>
    <xf numFmtId="1" fontId="0" fillId="0" borderId="43" xfId="0" applyNumberFormat="1" applyFont="1" applyFill="1" applyBorder="1" applyAlignment="1" applyProtection="1">
      <alignment horizontal="center"/>
      <protection/>
    </xf>
    <xf numFmtId="1" fontId="0" fillId="0" borderId="45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/>
    </xf>
    <xf numFmtId="1" fontId="0" fillId="0" borderId="21" xfId="0" applyNumberFormat="1" applyFont="1" applyFill="1" applyBorder="1" applyAlignment="1" applyProtection="1">
      <alignment horizontal="center"/>
      <protection/>
    </xf>
    <xf numFmtId="1" fontId="0" fillId="0" borderId="59" xfId="0" applyNumberFormat="1" applyFont="1" applyFill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60" xfId="0" applyNumberFormat="1" applyFont="1" applyFill="1" applyBorder="1" applyAlignment="1" applyProtection="1">
      <alignment horizontal="center"/>
      <protection/>
    </xf>
    <xf numFmtId="1" fontId="0" fillId="0" borderId="6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/>
    </xf>
    <xf numFmtId="1" fontId="0" fillId="0" borderId="62" xfId="0" applyNumberFormat="1" applyFont="1" applyFill="1" applyBorder="1" applyAlignment="1" applyProtection="1">
      <alignment horizontal="center"/>
      <protection/>
    </xf>
    <xf numFmtId="1" fontId="0" fillId="0" borderId="46" xfId="0" applyNumberFormat="1" applyFont="1" applyFill="1" applyBorder="1" applyAlignment="1" applyProtection="1">
      <alignment horizontal="center"/>
      <protection/>
    </xf>
    <xf numFmtId="1" fontId="0" fillId="0" borderId="47" xfId="0" applyNumberFormat="1" applyFont="1" applyFill="1" applyBorder="1" applyAlignment="1" applyProtection="1">
      <alignment horizontal="center"/>
      <protection/>
    </xf>
    <xf numFmtId="1" fontId="0" fillId="0" borderId="32" xfId="0" applyNumberFormat="1" applyFont="1" applyFill="1" applyBorder="1" applyAlignment="1" applyProtection="1">
      <alignment horizontal="center"/>
      <protection/>
    </xf>
    <xf numFmtId="1" fontId="0" fillId="0" borderId="48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0" borderId="22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1" fontId="7" fillId="0" borderId="44" xfId="0" applyNumberFormat="1" applyFont="1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6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>
      <alignment horizontal="center"/>
    </xf>
    <xf numFmtId="2" fontId="7" fillId="36" borderId="45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18" fontId="7" fillId="35" borderId="32" xfId="0" applyNumberFormat="1" applyFont="1" applyFill="1" applyBorder="1" applyAlignment="1">
      <alignment horizontal="center"/>
    </xf>
    <xf numFmtId="0" fontId="0" fillId="37" borderId="32" xfId="0" applyFill="1" applyBorder="1" applyAlignment="1" applyProtection="1">
      <alignment horizontal="center"/>
      <protection locked="0"/>
    </xf>
    <xf numFmtId="2" fontId="7" fillId="0" borderId="47" xfId="0" applyNumberFormat="1" applyFont="1" applyFill="1" applyBorder="1" applyAlignment="1">
      <alignment horizontal="center"/>
    </xf>
    <xf numFmtId="0" fontId="7" fillId="37" borderId="48" xfId="0" applyNumberFormat="1" applyFont="1" applyFill="1" applyBorder="1" applyAlignment="1" applyProtection="1">
      <alignment horizontal="center"/>
      <protection locked="0"/>
    </xf>
    <xf numFmtId="11" fontId="7" fillId="35" borderId="48" xfId="0" applyNumberFormat="1" applyFont="1" applyFill="1" applyBorder="1" applyAlignment="1">
      <alignment horizontal="center"/>
    </xf>
    <xf numFmtId="3" fontId="7" fillId="37" borderId="47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19" fillId="38" borderId="39" xfId="0" applyFont="1" applyFill="1" applyBorder="1" applyAlignment="1">
      <alignment horizontal="center"/>
    </xf>
    <xf numFmtId="0" fontId="19" fillId="38" borderId="40" xfId="0" applyFont="1" applyFill="1" applyBorder="1" applyAlignment="1">
      <alignment horizontal="center"/>
    </xf>
    <xf numFmtId="0" fontId="19" fillId="38" borderId="54" xfId="0" applyFont="1" applyFill="1" applyBorder="1" applyAlignment="1">
      <alignment horizontal="center"/>
    </xf>
    <xf numFmtId="0" fontId="19" fillId="38" borderId="55" xfId="0" applyFont="1" applyFill="1" applyBorder="1" applyAlignment="1">
      <alignment horizontal="center"/>
    </xf>
    <xf numFmtId="0" fontId="19" fillId="38" borderId="56" xfId="0" applyFont="1" applyFill="1" applyBorder="1" applyAlignment="1">
      <alignment horizontal="center"/>
    </xf>
    <xf numFmtId="0" fontId="19" fillId="38" borderId="57" xfId="0" applyFont="1" applyFill="1" applyBorder="1" applyAlignment="1">
      <alignment horizontal="center"/>
    </xf>
    <xf numFmtId="1" fontId="0" fillId="0" borderId="55" xfId="0" applyNumberForma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1" fontId="2" fillId="35" borderId="45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Alignment="1">
      <alignment/>
    </xf>
    <xf numFmtId="1" fontId="13" fillId="0" borderId="0" xfId="0" applyNumberFormat="1" applyFont="1" applyAlignment="1" applyProtection="1" quotePrefix="1">
      <alignment/>
      <protection/>
    </xf>
    <xf numFmtId="1" fontId="13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/>
    </xf>
    <xf numFmtId="213" fontId="0" fillId="0" borderId="21" xfId="0" applyNumberFormat="1" applyFont="1" applyFill="1" applyBorder="1" applyAlignment="1" applyProtection="1">
      <alignment horizontal="center"/>
      <protection/>
    </xf>
    <xf numFmtId="213" fontId="0" fillId="0" borderId="18" xfId="0" applyNumberFormat="1" applyFont="1" applyFill="1" applyBorder="1" applyAlignment="1" applyProtection="1">
      <alignment horizontal="center"/>
      <protection/>
    </xf>
    <xf numFmtId="0" fontId="0" fillId="0" borderId="64" xfId="0" applyBorder="1" applyAlignment="1">
      <alignment/>
    </xf>
    <xf numFmtId="0" fontId="0" fillId="0" borderId="40" xfId="0" applyBorder="1" applyAlignment="1">
      <alignment horizontal="center"/>
    </xf>
    <xf numFmtId="218" fontId="0" fillId="0" borderId="16" xfId="0" applyNumberFormat="1" applyBorder="1" applyAlignment="1">
      <alignment/>
    </xf>
    <xf numFmtId="218" fontId="0" fillId="0" borderId="59" xfId="0" applyNumberFormat="1" applyBorder="1" applyAlignment="1">
      <alignment/>
    </xf>
    <xf numFmtId="218" fontId="0" fillId="0" borderId="63" xfId="0" applyNumberFormat="1" applyBorder="1" applyAlignment="1">
      <alignment/>
    </xf>
    <xf numFmtId="218" fontId="0" fillId="0" borderId="65" xfId="0" applyNumberFormat="1" applyFill="1" applyBorder="1" applyAlignment="1" applyProtection="1">
      <alignment horizontal="center"/>
      <protection/>
    </xf>
    <xf numFmtId="213" fontId="0" fillId="35" borderId="49" xfId="0" applyNumberFormat="1" applyFont="1" applyFill="1" applyBorder="1" applyAlignment="1" applyProtection="1">
      <alignment horizontal="center"/>
      <protection/>
    </xf>
    <xf numFmtId="213" fontId="0" fillId="35" borderId="42" xfId="0" applyNumberFormat="1" applyFont="1" applyFill="1" applyBorder="1" applyAlignment="1" applyProtection="1">
      <alignment horizontal="center"/>
      <protection/>
    </xf>
    <xf numFmtId="218" fontId="0" fillId="0" borderId="15" xfId="0" applyNumberFormat="1" applyBorder="1" applyAlignment="1">
      <alignment/>
    </xf>
    <xf numFmtId="1" fontId="12" fillId="0" borderId="14" xfId="0" applyNumberFormat="1" applyFont="1" applyFill="1" applyBorder="1" applyAlignment="1" applyProtection="1">
      <alignment horizontal="center"/>
      <protection/>
    </xf>
    <xf numFmtId="1" fontId="12" fillId="0" borderId="21" xfId="0" applyNumberFormat="1" applyFont="1" applyFill="1" applyBorder="1" applyAlignment="1" applyProtection="1">
      <alignment horizontal="center"/>
      <protection/>
    </xf>
    <xf numFmtId="1" fontId="12" fillId="0" borderId="17" xfId="0" applyNumberFormat="1" applyFont="1" applyFill="1" applyBorder="1" applyAlignment="1" applyProtection="1">
      <alignment horizontal="center"/>
      <protection/>
    </xf>
    <xf numFmtId="1" fontId="0" fillId="0" borderId="47" xfId="0" applyNumberFormat="1" applyFill="1" applyBorder="1" applyAlignment="1">
      <alignment horizontal="center"/>
    </xf>
    <xf numFmtId="2" fontId="0" fillId="35" borderId="47" xfId="0" applyNumberFormat="1" applyFill="1" applyBorder="1" applyAlignment="1">
      <alignment horizontal="right"/>
    </xf>
    <xf numFmtId="218" fontId="0" fillId="35" borderId="47" xfId="0" applyNumberFormat="1" applyFill="1" applyBorder="1" applyAlignment="1">
      <alignment horizontal="right"/>
    </xf>
    <xf numFmtId="3" fontId="0" fillId="35" borderId="47" xfId="0" applyNumberFormat="1" applyFill="1" applyBorder="1" applyAlignment="1">
      <alignment horizontal="right"/>
    </xf>
    <xf numFmtId="1" fontId="0" fillId="0" borderId="32" xfId="0" applyNumberFormat="1" applyFill="1" applyBorder="1" applyAlignment="1">
      <alignment horizontal="center"/>
    </xf>
    <xf numFmtId="2" fontId="0" fillId="35" borderId="32" xfId="0" applyNumberFormat="1" applyFill="1" applyBorder="1" applyAlignment="1">
      <alignment horizontal="right"/>
    </xf>
    <xf numFmtId="218" fontId="0" fillId="35" borderId="32" xfId="0" applyNumberFormat="1" applyFill="1" applyBorder="1" applyAlignment="1">
      <alignment horizontal="right"/>
    </xf>
    <xf numFmtId="3" fontId="0" fillId="35" borderId="32" xfId="0" applyNumberFormat="1" applyFill="1" applyBorder="1" applyAlignment="1">
      <alignment horizontal="right"/>
    </xf>
    <xf numFmtId="1" fontId="0" fillId="0" borderId="48" xfId="0" applyNumberFormat="1" applyFill="1" applyBorder="1" applyAlignment="1">
      <alignment horizontal="center"/>
    </xf>
    <xf numFmtId="2" fontId="0" fillId="35" borderId="48" xfId="0" applyNumberFormat="1" applyFill="1" applyBorder="1" applyAlignment="1">
      <alignment horizontal="right"/>
    </xf>
    <xf numFmtId="218" fontId="0" fillId="35" borderId="48" xfId="0" applyNumberFormat="1" applyFill="1" applyBorder="1" applyAlignment="1">
      <alignment horizontal="right"/>
    </xf>
    <xf numFmtId="3" fontId="0" fillId="35" borderId="48" xfId="0" applyNumberFormat="1" applyFill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6" xfId="0" applyFill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4" xfId="0" applyFill="1" applyBorder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3" xfId="0" applyFill="1" applyBorder="1" applyAlignment="1">
      <alignment horizontal="right"/>
    </xf>
    <xf numFmtId="1" fontId="7" fillId="0" borderId="43" xfId="0" applyNumberFormat="1" applyFont="1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218" fontId="0" fillId="35" borderId="29" xfId="0" applyNumberFormat="1" applyFill="1" applyBorder="1" applyAlignment="1">
      <alignment horizontal="center"/>
    </xf>
    <xf numFmtId="224" fontId="0" fillId="35" borderId="30" xfId="0" applyNumberFormat="1" applyFill="1" applyBorder="1" applyAlignment="1">
      <alignment horizontal="center"/>
    </xf>
    <xf numFmtId="0" fontId="7" fillId="0" borderId="45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 horizontal="left"/>
      <protection/>
    </xf>
    <xf numFmtId="0" fontId="0" fillId="0" borderId="4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18" fontId="0" fillId="33" borderId="27" xfId="0" applyNumberFormat="1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218" fontId="0" fillId="33" borderId="28" xfId="0" applyNumberForma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0" fontId="0" fillId="33" borderId="38" xfId="0" applyFill="1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" fontId="2" fillId="33" borderId="42" xfId="0" applyNumberFormat="1" applyFont="1" applyFill="1" applyBorder="1" applyAlignment="1" applyProtection="1">
      <alignment horizontal="center"/>
      <protection/>
    </xf>
    <xf numFmtId="1" fontId="2" fillId="33" borderId="44" xfId="0" applyNumberFormat="1" applyFont="1" applyFill="1" applyBorder="1" applyAlignment="1">
      <alignment horizontal="center"/>
    </xf>
    <xf numFmtId="1" fontId="2" fillId="33" borderId="43" xfId="0" applyNumberFormat="1" applyFont="1" applyFill="1" applyBorder="1" applyAlignment="1">
      <alignment horizontal="center"/>
    </xf>
    <xf numFmtId="1" fontId="2" fillId="33" borderId="45" xfId="0" applyNumberFormat="1" applyFont="1" applyFill="1" applyBorder="1" applyAlignment="1">
      <alignment horizontal="center"/>
    </xf>
    <xf numFmtId="1" fontId="2" fillId="33" borderId="49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2" fontId="0" fillId="33" borderId="39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40" xfId="0" applyNumberFormat="1" applyFill="1" applyBorder="1" applyAlignment="1">
      <alignment horizontal="center"/>
    </xf>
    <xf numFmtId="1" fontId="0" fillId="33" borderId="54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33" borderId="55" xfId="0" applyNumberFormat="1" applyFill="1" applyBorder="1" applyAlignment="1">
      <alignment horizontal="center"/>
    </xf>
    <xf numFmtId="1" fontId="0" fillId="33" borderId="56" xfId="0" applyNumberFormat="1" applyFill="1" applyBorder="1" applyAlignment="1">
      <alignment horizontal="center"/>
    </xf>
    <xf numFmtId="1" fontId="0" fillId="33" borderId="37" xfId="0" applyNumberFormat="1" applyFill="1" applyBorder="1" applyAlignment="1">
      <alignment horizontal="center"/>
    </xf>
    <xf numFmtId="1" fontId="0" fillId="33" borderId="57" xfId="0" applyNumberFormat="1" applyFill="1" applyBorder="1" applyAlignment="1">
      <alignment horizontal="center"/>
    </xf>
    <xf numFmtId="1" fontId="13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0" fontId="0" fillId="0" borderId="64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56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2" fontId="0" fillId="0" borderId="44" xfId="0" applyNumberFormat="1" applyFont="1" applyFill="1" applyBorder="1" applyAlignment="1" applyProtection="1">
      <alignment horizontal="center"/>
      <protection/>
    </xf>
    <xf numFmtId="2" fontId="0" fillId="0" borderId="43" xfId="0" applyNumberFormat="1" applyFont="1" applyFill="1" applyBorder="1" applyAlignment="1" applyProtection="1">
      <alignment horizontal="center"/>
      <protection/>
    </xf>
    <xf numFmtId="2" fontId="0" fillId="0" borderId="45" xfId="0" applyNumberFormat="1" applyFont="1" applyFill="1" applyBorder="1" applyAlignment="1" applyProtection="1">
      <alignment horizontal="center"/>
      <protection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" fontId="0" fillId="0" borderId="32" xfId="0" applyNumberFormat="1" applyFill="1" applyBorder="1" applyAlignment="1">
      <alignment/>
    </xf>
    <xf numFmtId="0" fontId="0" fillId="35" borderId="6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1" fontId="0" fillId="35" borderId="47" xfId="0" applyNumberFormat="1" applyFill="1" applyBorder="1" applyAlignment="1" applyProtection="1">
      <alignment horizontal="left"/>
      <protection/>
    </xf>
    <xf numFmtId="1" fontId="0" fillId="35" borderId="32" xfId="0" applyNumberFormat="1" applyFill="1" applyBorder="1" applyAlignment="1" applyProtection="1">
      <alignment horizontal="left"/>
      <protection/>
    </xf>
    <xf numFmtId="1" fontId="0" fillId="35" borderId="70" xfId="0" applyNumberFormat="1" applyFill="1" applyBorder="1" applyAlignment="1" applyProtection="1">
      <alignment horizontal="left"/>
      <protection/>
    </xf>
    <xf numFmtId="1" fontId="0" fillId="35" borderId="48" xfId="0" applyNumberFormat="1" applyFill="1" applyBorder="1" applyAlignment="1" applyProtection="1">
      <alignment horizontal="left"/>
      <protection/>
    </xf>
    <xf numFmtId="1" fontId="0" fillId="39" borderId="47" xfId="0" applyNumberFormat="1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1" fontId="0" fillId="39" borderId="32" xfId="0" applyNumberFormat="1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1" fontId="0" fillId="39" borderId="48" xfId="0" applyNumberFormat="1" applyFill="1" applyBorder="1" applyAlignment="1">
      <alignment horizontal="center"/>
    </xf>
    <xf numFmtId="0" fontId="0" fillId="39" borderId="48" xfId="0" applyFill="1" applyBorder="1" applyAlignment="1">
      <alignment horizontal="center"/>
    </xf>
    <xf numFmtId="1" fontId="0" fillId="39" borderId="66" xfId="0" applyNumberFormat="1" applyFill="1" applyBorder="1" applyAlignment="1" applyProtection="1">
      <alignment horizontal="center"/>
      <protection/>
    </xf>
    <xf numFmtId="1" fontId="0" fillId="39" borderId="24" xfId="0" applyNumberFormat="1" applyFill="1" applyBorder="1" applyAlignment="1" applyProtection="1">
      <alignment horizontal="center"/>
      <protection/>
    </xf>
    <xf numFmtId="1" fontId="0" fillId="39" borderId="10" xfId="0" applyNumberFormat="1" applyFill="1" applyBorder="1" applyAlignment="1" applyProtection="1">
      <alignment horizontal="center"/>
      <protection/>
    </xf>
    <xf numFmtId="1" fontId="0" fillId="39" borderId="65" xfId="0" applyNumberForma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left"/>
    </xf>
    <xf numFmtId="0" fontId="26" fillId="33" borderId="30" xfId="0" applyFont="1" applyFill="1" applyBorder="1" applyAlignment="1">
      <alignment horizontal="center"/>
    </xf>
    <xf numFmtId="0" fontId="3" fillId="34" borderId="71" xfId="0" applyFont="1" applyFill="1" applyBorder="1" applyAlignment="1" applyProtection="1">
      <alignment/>
      <protection/>
    </xf>
    <xf numFmtId="0" fontId="3" fillId="34" borderId="72" xfId="0" applyFont="1" applyFill="1" applyBorder="1" applyAlignment="1" applyProtection="1">
      <alignment/>
      <protection/>
    </xf>
    <xf numFmtId="0" fontId="3" fillId="34" borderId="73" xfId="0" applyFont="1" applyFill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9" fillId="0" borderId="76" xfId="0" applyFont="1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0" fillId="0" borderId="7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75" xfId="0" applyFont="1" applyBorder="1" applyAlignment="1" applyProtection="1">
      <alignment/>
      <protection/>
    </xf>
    <xf numFmtId="0" fontId="2" fillId="0" borderId="74" xfId="0" applyFont="1" applyBorder="1" applyAlignment="1" applyProtection="1">
      <alignment/>
      <protection/>
    </xf>
    <xf numFmtId="0" fontId="1" fillId="0" borderId="74" xfId="0" applyFont="1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9" fillId="0" borderId="74" xfId="0" applyFont="1" applyBorder="1" applyAlignment="1" applyProtection="1">
      <alignment/>
      <protection/>
    </xf>
    <xf numFmtId="0" fontId="12" fillId="40" borderId="74" xfId="0" applyFont="1" applyFill="1" applyBorder="1" applyAlignment="1" applyProtection="1">
      <alignment/>
      <protection/>
    </xf>
    <xf numFmtId="0" fontId="13" fillId="41" borderId="0" xfId="0" applyFont="1" applyFill="1" applyBorder="1" applyAlignment="1" applyProtection="1">
      <alignment/>
      <protection/>
    </xf>
    <xf numFmtId="0" fontId="13" fillId="41" borderId="75" xfId="0" applyFont="1" applyFill="1" applyBorder="1" applyAlignment="1" applyProtection="1">
      <alignment/>
      <protection/>
    </xf>
    <xf numFmtId="0" fontId="0" fillId="0" borderId="82" xfId="0" applyFont="1" applyBorder="1" applyAlignment="1" applyProtection="1">
      <alignment horizontal="left"/>
      <protection/>
    </xf>
    <xf numFmtId="1" fontId="0" fillId="37" borderId="14" xfId="0" applyNumberFormat="1" applyFill="1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left"/>
      <protection/>
    </xf>
    <xf numFmtId="0" fontId="6" fillId="0" borderId="74" xfId="0" applyFont="1" applyBorder="1" applyAlignment="1" applyProtection="1">
      <alignment/>
      <protection/>
    </xf>
    <xf numFmtId="0" fontId="0" fillId="37" borderId="14" xfId="0" applyFill="1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/>
    </xf>
    <xf numFmtId="0" fontId="0" fillId="0" borderId="83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74" xfId="0" applyFont="1" applyBorder="1" applyAlignment="1" applyProtection="1">
      <alignment/>
      <protection/>
    </xf>
    <xf numFmtId="226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75" xfId="0" applyFont="1" applyBorder="1" applyAlignment="1" applyProtection="1">
      <alignment/>
      <protection/>
    </xf>
    <xf numFmtId="218" fontId="0" fillId="35" borderId="29" xfId="0" applyNumberFormat="1" applyFill="1" applyBorder="1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horizontal="left"/>
      <protection/>
    </xf>
    <xf numFmtId="1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1" fontId="7" fillId="35" borderId="30" xfId="0" applyNumberFormat="1" applyFont="1" applyFill="1" applyBorder="1" applyAlignment="1" applyProtection="1">
      <alignment horizontal="center" vertical="center"/>
      <protection/>
    </xf>
    <xf numFmtId="226" fontId="0" fillId="0" borderId="0" xfId="0" applyNumberForma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2" fontId="0" fillId="35" borderId="47" xfId="0" applyNumberFormat="1" applyFill="1" applyBorder="1" applyAlignment="1" applyProtection="1">
      <alignment horizontal="center"/>
      <protection/>
    </xf>
    <xf numFmtId="0" fontId="6" fillId="0" borderId="75" xfId="0" applyFont="1" applyBorder="1" applyAlignment="1" applyProtection="1">
      <alignment horizontal="center"/>
      <protection/>
    </xf>
    <xf numFmtId="2" fontId="0" fillId="35" borderId="32" xfId="0" applyNumberFormat="1" applyFill="1" applyBorder="1" applyAlignment="1" applyProtection="1">
      <alignment horizontal="center"/>
      <protection/>
    </xf>
    <xf numFmtId="2" fontId="0" fillId="35" borderId="70" xfId="0" applyNumberFormat="1" applyFill="1" applyBorder="1" applyAlignment="1" applyProtection="1">
      <alignment horizontal="center"/>
      <protection/>
    </xf>
    <xf numFmtId="2" fontId="2" fillId="35" borderId="84" xfId="0" applyNumberFormat="1" applyFont="1" applyFill="1" applyBorder="1" applyAlignment="1" applyProtection="1">
      <alignment horizontal="center"/>
      <protection/>
    </xf>
    <xf numFmtId="2" fontId="0" fillId="35" borderId="31" xfId="0" applyNumberFormat="1" applyFill="1" applyBorder="1" applyAlignment="1" applyProtection="1">
      <alignment horizontal="center"/>
      <protection/>
    </xf>
    <xf numFmtId="0" fontId="0" fillId="0" borderId="85" xfId="0" applyBorder="1" applyAlignment="1" applyProtection="1">
      <alignment/>
      <protection/>
    </xf>
    <xf numFmtId="1" fontId="0" fillId="35" borderId="48" xfId="0" applyNumberFormat="1" applyFill="1" applyBorder="1" applyAlignment="1" applyProtection="1">
      <alignment horizontal="center"/>
      <protection/>
    </xf>
    <xf numFmtId="0" fontId="0" fillId="0" borderId="86" xfId="0" applyBorder="1" applyAlignment="1" applyProtection="1">
      <alignment/>
      <protection/>
    </xf>
    <xf numFmtId="2" fontId="7" fillId="0" borderId="86" xfId="0" applyNumberFormat="1" applyFont="1" applyBorder="1" applyAlignment="1" applyProtection="1">
      <alignment horizontal="center"/>
      <protection/>
    </xf>
    <xf numFmtId="0" fontId="0" fillId="0" borderId="71" xfId="0" applyBorder="1" applyAlignment="1" applyProtection="1">
      <alignment/>
      <protection/>
    </xf>
    <xf numFmtId="0" fontId="6" fillId="0" borderId="72" xfId="0" applyFont="1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22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1" fontId="0" fillId="33" borderId="31" xfId="0" applyNumberFormat="1" applyFill="1" applyBorder="1" applyAlignment="1">
      <alignment horizontal="center"/>
    </xf>
    <xf numFmtId="0" fontId="13" fillId="0" borderId="0" xfId="0" applyFont="1" applyAlignment="1">
      <alignment/>
    </xf>
    <xf numFmtId="218" fontId="2" fillId="0" borderId="0" xfId="0" applyNumberFormat="1" applyFont="1" applyFill="1" applyBorder="1" applyAlignment="1">
      <alignment horizontal="left"/>
    </xf>
    <xf numFmtId="3" fontId="27" fillId="37" borderId="46" xfId="0" applyNumberFormat="1" applyFont="1" applyFill="1" applyBorder="1" applyAlignment="1" applyProtection="1">
      <alignment horizontal="center" vertical="center"/>
      <protection locked="0"/>
    </xf>
    <xf numFmtId="0" fontId="17" fillId="34" borderId="38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85" xfId="0" applyBorder="1" applyAlignment="1">
      <alignment vertical="center"/>
    </xf>
    <xf numFmtId="0" fontId="1" fillId="37" borderId="4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" fillId="37" borderId="47" xfId="0" applyFont="1" applyFill="1" applyBorder="1" applyAlignment="1" applyProtection="1">
      <alignment horizontal="center" vertical="center"/>
      <protection locked="0"/>
    </xf>
    <xf numFmtId="0" fontId="1" fillId="37" borderId="48" xfId="0" applyFont="1" applyFill="1" applyBorder="1" applyAlignment="1" applyProtection="1">
      <alignment horizontal="center" vertical="center"/>
      <protection locked="0"/>
    </xf>
    <xf numFmtId="0" fontId="1" fillId="35" borderId="46" xfId="0" applyFont="1" applyFill="1" applyBorder="1" applyAlignment="1" applyProtection="1">
      <alignment horizontal="center" vertical="center"/>
      <protection locked="0"/>
    </xf>
    <xf numFmtId="1" fontId="1" fillId="37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" fontId="16" fillId="35" borderId="31" xfId="0" applyNumberFormat="1" applyFont="1" applyFill="1" applyBorder="1" applyAlignment="1">
      <alignment horizontal="center" vertical="center"/>
    </xf>
    <xf numFmtId="2" fontId="0" fillId="35" borderId="31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" fontId="16" fillId="35" borderId="32" xfId="0" applyNumberFormat="1" applyFont="1" applyFill="1" applyBorder="1" applyAlignment="1">
      <alignment horizontal="center" vertical="center"/>
    </xf>
    <xf numFmtId="2" fontId="0" fillId="35" borderId="32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" fontId="16" fillId="35" borderId="48" xfId="0" applyNumberFormat="1" applyFont="1" applyFill="1" applyBorder="1" applyAlignment="1">
      <alignment horizontal="center" vertical="center"/>
    </xf>
    <xf numFmtId="2" fontId="0" fillId="35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" fillId="37" borderId="44" xfId="0" applyFont="1" applyFill="1" applyBorder="1" applyAlignment="1" applyProtection="1">
      <alignment vertical="center"/>
      <protection locked="0"/>
    </xf>
    <xf numFmtId="0" fontId="1" fillId="37" borderId="43" xfId="0" applyFont="1" applyFill="1" applyBorder="1" applyAlignment="1" applyProtection="1">
      <alignment vertical="center"/>
      <protection locked="0"/>
    </xf>
    <xf numFmtId="0" fontId="1" fillId="37" borderId="45" xfId="0" applyFont="1" applyFill="1" applyBorder="1" applyAlignment="1" applyProtection="1">
      <alignment vertical="center"/>
      <protection locked="0"/>
    </xf>
    <xf numFmtId="0" fontId="1" fillId="37" borderId="16" xfId="0" applyFont="1" applyFill="1" applyBorder="1" applyAlignment="1" applyProtection="1">
      <alignment vertical="center"/>
      <protection locked="0"/>
    </xf>
    <xf numFmtId="212" fontId="0" fillId="35" borderId="47" xfId="0" applyNumberForma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vertical="center"/>
      <protection locked="0"/>
    </xf>
    <xf numFmtId="0" fontId="1" fillId="37" borderId="14" xfId="0" applyFont="1" applyFill="1" applyBorder="1" applyAlignment="1" applyProtection="1">
      <alignment vertical="center"/>
      <protection locked="0"/>
    </xf>
    <xf numFmtId="0" fontId="1" fillId="37" borderId="21" xfId="0" applyFont="1" applyFill="1" applyBorder="1" applyAlignment="1" applyProtection="1">
      <alignment vertical="center"/>
      <protection locked="0"/>
    </xf>
    <xf numFmtId="0" fontId="1" fillId="37" borderId="59" xfId="0" applyFont="1" applyFill="1" applyBorder="1" applyAlignment="1" applyProtection="1">
      <alignment vertical="center"/>
      <protection locked="0"/>
    </xf>
    <xf numFmtId="212" fontId="0" fillId="35" borderId="32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" fillId="37" borderId="42" xfId="0" applyFont="1" applyFill="1" applyBorder="1" applyAlignment="1" applyProtection="1">
      <alignment vertical="center"/>
      <protection locked="0"/>
    </xf>
    <xf numFmtId="0" fontId="1" fillId="37" borderId="17" xfId="0" applyFont="1" applyFill="1" applyBorder="1" applyAlignment="1" applyProtection="1">
      <alignment vertical="center"/>
      <protection locked="0"/>
    </xf>
    <xf numFmtId="0" fontId="1" fillId="37" borderId="18" xfId="0" applyFont="1" applyFill="1" applyBorder="1" applyAlignment="1" applyProtection="1">
      <alignment vertical="center"/>
      <protection locked="0"/>
    </xf>
    <xf numFmtId="0" fontId="1" fillId="37" borderId="63" xfId="0" applyFont="1" applyFill="1" applyBorder="1" applyAlignment="1" applyProtection="1">
      <alignment vertical="center"/>
      <protection locked="0"/>
    </xf>
    <xf numFmtId="212" fontId="0" fillId="35" borderId="48" xfId="0" applyNumberForma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1" fillId="37" borderId="19" xfId="0" applyFont="1" applyFill="1" applyBorder="1" applyAlignment="1" applyProtection="1">
      <alignment vertical="center"/>
      <protection locked="0"/>
    </xf>
    <xf numFmtId="0" fontId="1" fillId="37" borderId="69" xfId="0" applyFont="1" applyFill="1" applyBorder="1" applyAlignment="1" applyProtection="1">
      <alignment vertical="center"/>
      <protection locked="0"/>
    </xf>
    <xf numFmtId="0" fontId="1" fillId="37" borderId="57" xfId="0" applyFont="1" applyFill="1" applyBorder="1" applyAlignment="1" applyProtection="1">
      <alignment vertical="center"/>
      <protection locked="0"/>
    </xf>
    <xf numFmtId="212" fontId="0" fillId="35" borderId="57" xfId="0" applyNumberForma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26" fillId="0" borderId="56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center"/>
    </xf>
    <xf numFmtId="212" fontId="0" fillId="35" borderId="15" xfId="0" applyNumberFormat="1" applyFill="1" applyBorder="1" applyAlignment="1" applyProtection="1">
      <alignment vertical="center"/>
      <protection/>
    </xf>
    <xf numFmtId="212" fontId="0" fillId="35" borderId="22" xfId="0" applyNumberFormat="1" applyFill="1" applyBorder="1" applyAlignment="1" applyProtection="1">
      <alignment vertical="center"/>
      <protection/>
    </xf>
    <xf numFmtId="212" fontId="0" fillId="35" borderId="23" xfId="0" applyNumberFormat="1" applyFill="1" applyBorder="1" applyAlignment="1" applyProtection="1">
      <alignment vertical="center"/>
      <protection/>
    </xf>
    <xf numFmtId="212" fontId="0" fillId="35" borderId="57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7" fillId="35" borderId="14" xfId="0" applyNumberFormat="1" applyFont="1" applyFill="1" applyBorder="1" applyAlignment="1" applyProtection="1">
      <alignment horizontal="center" vertical="center"/>
      <protection/>
    </xf>
    <xf numFmtId="3" fontId="0" fillId="35" borderId="14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3" fontId="27" fillId="37" borderId="44" xfId="0" applyNumberFormat="1" applyFont="1" applyFill="1" applyBorder="1" applyAlignment="1" applyProtection="1">
      <alignment horizontal="center" vertical="center"/>
      <protection locked="0"/>
    </xf>
    <xf numFmtId="3" fontId="27" fillId="37" borderId="43" xfId="0" applyNumberFormat="1" applyFont="1" applyFill="1" applyBorder="1" applyAlignment="1" applyProtection="1">
      <alignment horizontal="center" vertical="center"/>
      <protection locked="0"/>
    </xf>
    <xf numFmtId="3" fontId="27" fillId="37" borderId="45" xfId="0" applyNumberFormat="1" applyFont="1" applyFill="1" applyBorder="1" applyAlignment="1" applyProtection="1">
      <alignment horizontal="center" vertical="center"/>
      <protection locked="0"/>
    </xf>
    <xf numFmtId="3" fontId="7" fillId="35" borderId="32" xfId="0" applyNumberFormat="1" applyFont="1" applyFill="1" applyBorder="1" applyAlignment="1" applyProtection="1">
      <alignment horizontal="center" vertical="center"/>
      <protection/>
    </xf>
    <xf numFmtId="2" fontId="1" fillId="37" borderId="49" xfId="0" applyNumberFormat="1" applyFont="1" applyFill="1" applyBorder="1" applyAlignment="1" applyProtection="1">
      <alignment horizontal="center" vertical="center"/>
      <protection locked="0"/>
    </xf>
    <xf numFmtId="2" fontId="1" fillId="37" borderId="14" xfId="0" applyNumberFormat="1" applyFont="1" applyFill="1" applyBorder="1" applyAlignment="1" applyProtection="1">
      <alignment horizontal="center" vertical="center"/>
      <protection locked="0"/>
    </xf>
    <xf numFmtId="2" fontId="1" fillId="37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32" xfId="0" applyNumberFormat="1" applyFill="1" applyBorder="1" applyAlignment="1">
      <alignment horizontal="center" vertical="center"/>
    </xf>
    <xf numFmtId="2" fontId="1" fillId="37" borderId="42" xfId="0" applyNumberFormat="1" applyFont="1" applyFill="1" applyBorder="1" applyAlignment="1" applyProtection="1">
      <alignment horizontal="center" vertical="center"/>
      <protection locked="0"/>
    </xf>
    <xf numFmtId="2" fontId="1" fillId="37" borderId="17" xfId="0" applyNumberFormat="1" applyFont="1" applyFill="1" applyBorder="1" applyAlignment="1" applyProtection="1">
      <alignment horizontal="center" vertical="center"/>
      <protection locked="0"/>
    </xf>
    <xf numFmtId="2" fontId="1" fillId="37" borderId="18" xfId="0" applyNumberFormat="1" applyFont="1" applyFill="1" applyBorder="1" applyAlignment="1" applyProtection="1">
      <alignment horizontal="center" vertical="center"/>
      <protection locked="0"/>
    </xf>
    <xf numFmtId="2" fontId="0" fillId="35" borderId="48" xfId="0" applyNumberForma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 horizontal="right" vertical="center"/>
    </xf>
    <xf numFmtId="0" fontId="24" fillId="0" borderId="80" xfId="0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0" fillId="0" borderId="77" xfId="0" applyFill="1" applyBorder="1" applyAlignment="1" applyProtection="1">
      <alignment vertical="center"/>
      <protection/>
    </xf>
    <xf numFmtId="0" fontId="0" fillId="0" borderId="77" xfId="0" applyFill="1" applyBorder="1" applyAlignment="1">
      <alignment vertical="center"/>
    </xf>
    <xf numFmtId="0" fontId="0" fillId="0" borderId="77" xfId="0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3" fontId="13" fillId="0" borderId="0" xfId="0" applyNumberFormat="1" applyFont="1" applyAlignment="1">
      <alignment/>
    </xf>
    <xf numFmtId="212" fontId="7" fillId="35" borderId="57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/>
    </xf>
    <xf numFmtId="0" fontId="19" fillId="0" borderId="52" xfId="0" applyFont="1" applyFill="1" applyBorder="1" applyAlignment="1" applyProtection="1">
      <alignment horizontal="center"/>
      <protection/>
    </xf>
    <xf numFmtId="0" fontId="19" fillId="0" borderId="39" xfId="0" applyFont="1" applyBorder="1" applyAlignment="1" applyProtection="1">
      <alignment/>
      <protection/>
    </xf>
    <xf numFmtId="0" fontId="19" fillId="0" borderId="56" xfId="0" applyFont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0" fillId="33" borderId="87" xfId="0" applyNumberFormat="1" applyFill="1" applyBorder="1" applyAlignment="1">
      <alignment horizontal="center"/>
    </xf>
    <xf numFmtId="218" fontId="0" fillId="33" borderId="87" xfId="0" applyNumberFormat="1" applyFill="1" applyBorder="1" applyAlignment="1">
      <alignment horizontal="center"/>
    </xf>
    <xf numFmtId="1" fontId="0" fillId="33" borderId="87" xfId="0" applyNumberFormat="1" applyFill="1" applyBorder="1" applyAlignment="1">
      <alignment horizontal="center"/>
    </xf>
    <xf numFmtId="0" fontId="0" fillId="37" borderId="0" xfId="0" applyFill="1" applyBorder="1" applyAlignment="1" applyProtection="1">
      <alignment/>
      <protection locked="0"/>
    </xf>
    <xf numFmtId="0" fontId="0" fillId="37" borderId="55" xfId="0" applyFill="1" applyBorder="1" applyAlignment="1" applyProtection="1">
      <alignment/>
      <protection locked="0"/>
    </xf>
    <xf numFmtId="0" fontId="0" fillId="37" borderId="37" xfId="0" applyFill="1" applyBorder="1" applyAlignment="1" applyProtection="1">
      <alignment/>
      <protection locked="0"/>
    </xf>
    <xf numFmtId="0" fontId="0" fillId="37" borderId="57" xfId="0" applyFill="1" applyBorder="1" applyAlignment="1" applyProtection="1">
      <alignment/>
      <protection locked="0"/>
    </xf>
    <xf numFmtId="0" fontId="13" fillId="0" borderId="0" xfId="0" applyFont="1" applyAlignment="1">
      <alignment horizontal="left" vertical="center"/>
    </xf>
    <xf numFmtId="0" fontId="1" fillId="35" borderId="46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7" borderId="22" xfId="0" applyFont="1" applyFill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2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" fontId="29" fillId="35" borderId="38" xfId="0" applyNumberFormat="1" applyFont="1" applyFill="1" applyBorder="1" applyAlignment="1" applyProtection="1">
      <alignment horizontal="center" vertical="center"/>
      <protection locked="0"/>
    </xf>
    <xf numFmtId="2" fontId="0" fillId="33" borderId="59" xfId="0" applyNumberFormat="1" applyFill="1" applyBorder="1" applyAlignment="1">
      <alignment horizontal="center"/>
    </xf>
    <xf numFmtId="2" fontId="0" fillId="33" borderId="6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64" fillId="0" borderId="0" xfId="0" applyFont="1" applyAlignment="1">
      <alignment/>
    </xf>
    <xf numFmtId="0" fontId="0" fillId="0" borderId="66" xfId="0" applyBorder="1" applyAlignment="1">
      <alignment horizontal="center"/>
    </xf>
    <xf numFmtId="0" fontId="0" fillId="0" borderId="61" xfId="0" applyBorder="1" applyAlignment="1">
      <alignment horizontal="center"/>
    </xf>
    <xf numFmtId="2" fontId="0" fillId="35" borderId="49" xfId="0" applyNumberFormat="1" applyFill="1" applyBorder="1" applyAlignment="1">
      <alignment horizontal="center"/>
    </xf>
    <xf numFmtId="2" fontId="0" fillId="35" borderId="42" xfId="0" applyNumberFormat="1" applyFill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6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218" fontId="0" fillId="0" borderId="0" xfId="0" applyNumberFormat="1" applyAlignment="1">
      <alignment/>
    </xf>
    <xf numFmtId="2" fontId="0" fillId="35" borderId="43" xfId="0" applyNumberFormat="1" applyFont="1" applyFill="1" applyBorder="1" applyAlignment="1">
      <alignment horizontal="center"/>
    </xf>
    <xf numFmtId="2" fontId="0" fillId="35" borderId="45" xfId="0" applyNumberFormat="1" applyFont="1" applyFill="1" applyBorder="1" applyAlignment="1">
      <alignment horizontal="center"/>
    </xf>
    <xf numFmtId="0" fontId="65" fillId="0" borderId="89" xfId="0" applyFont="1" applyBorder="1" applyAlignment="1">
      <alignment horizontal="left"/>
    </xf>
    <xf numFmtId="0" fontId="65" fillId="0" borderId="90" xfId="0" applyFont="1" applyBorder="1" applyAlignment="1">
      <alignment horizontal="center"/>
    </xf>
    <xf numFmtId="0" fontId="65" fillId="0" borderId="91" xfId="0" applyFont="1" applyBorder="1" applyAlignment="1">
      <alignment/>
    </xf>
    <xf numFmtId="0" fontId="65" fillId="0" borderId="92" xfId="0" applyFont="1" applyBorder="1" applyAlignment="1">
      <alignment/>
    </xf>
    <xf numFmtId="9" fontId="65" fillId="0" borderId="93" xfId="0" applyNumberFormat="1" applyFont="1" applyBorder="1" applyAlignment="1">
      <alignment horizontal="center"/>
    </xf>
    <xf numFmtId="0" fontId="65" fillId="0" borderId="94" xfId="0" applyFont="1" applyBorder="1" applyAlignment="1">
      <alignment/>
    </xf>
    <xf numFmtId="0" fontId="65" fillId="0" borderId="93" xfId="0" applyFont="1" applyBorder="1" applyAlignment="1">
      <alignment horizontal="right" vertical="center"/>
    </xf>
    <xf numFmtId="213" fontId="0" fillId="35" borderId="20" xfId="0" applyNumberFormat="1" applyFont="1" applyFill="1" applyBorder="1" applyAlignment="1" applyProtection="1">
      <alignment horizontal="center"/>
      <protection/>
    </xf>
    <xf numFmtId="213" fontId="0" fillId="0" borderId="20" xfId="0" applyNumberFormat="1" applyFont="1" applyFill="1" applyBorder="1" applyAlignment="1" applyProtection="1">
      <alignment horizontal="center"/>
      <protection/>
    </xf>
    <xf numFmtId="0" fontId="65" fillId="0" borderId="95" xfId="0" applyFont="1" applyBorder="1" applyAlignment="1">
      <alignment/>
    </xf>
    <xf numFmtId="0" fontId="64" fillId="0" borderId="92" xfId="0" applyFont="1" applyBorder="1" applyAlignment="1">
      <alignment horizontal="right"/>
    </xf>
    <xf numFmtId="9" fontId="64" fillId="0" borderId="93" xfId="0" applyNumberFormat="1" applyFont="1" applyBorder="1" applyAlignment="1">
      <alignment horizontal="center"/>
    </xf>
    <xf numFmtId="9" fontId="64" fillId="0" borderId="93" xfId="0" applyNumberFormat="1" applyFont="1" applyBorder="1" applyAlignment="1">
      <alignment horizontal="left" vertical="center"/>
    </xf>
    <xf numFmtId="0" fontId="65" fillId="0" borderId="0" xfId="0" applyFont="1" applyAlignment="1">
      <alignment/>
    </xf>
    <xf numFmtId="9" fontId="65" fillId="0" borderId="0" xfId="0" applyNumberFormat="1" applyFont="1" applyAlignment="1">
      <alignment horizontal="left"/>
    </xf>
    <xf numFmtId="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 applyProtection="1">
      <alignment horizontal="left" vertical="center"/>
      <protection locked="0"/>
    </xf>
    <xf numFmtId="11" fontId="0" fillId="0" borderId="96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ill="1" applyBorder="1" applyAlignment="1">
      <alignment/>
    </xf>
    <xf numFmtId="2" fontId="0" fillId="35" borderId="44" xfId="0" applyNumberFormat="1" applyFill="1" applyBorder="1" applyAlignment="1">
      <alignment horizontal="center"/>
    </xf>
    <xf numFmtId="218" fontId="0" fillId="35" borderId="43" xfId="0" applyNumberFormat="1" applyFont="1" applyFill="1" applyBorder="1" applyAlignment="1">
      <alignment horizontal="center"/>
    </xf>
    <xf numFmtId="3" fontId="0" fillId="35" borderId="43" xfId="0" applyNumberFormat="1" applyFill="1" applyBorder="1" applyAlignment="1">
      <alignment/>
    </xf>
    <xf numFmtId="2" fontId="0" fillId="35" borderId="43" xfId="0" applyNumberFormat="1" applyFill="1" applyBorder="1" applyAlignment="1">
      <alignment horizontal="center"/>
    </xf>
    <xf numFmtId="2" fontId="0" fillId="35" borderId="45" xfId="0" applyNumberForma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37" borderId="64" xfId="0" applyNumberFormat="1" applyFill="1" applyBorder="1" applyAlignment="1" applyProtection="1">
      <alignment vertical="center"/>
      <protection locked="0"/>
    </xf>
    <xf numFmtId="49" fontId="0" fillId="0" borderId="68" xfId="0" applyNumberFormat="1" applyBorder="1" applyAlignment="1" applyProtection="1">
      <alignment vertical="center"/>
      <protection locked="0"/>
    </xf>
    <xf numFmtId="49" fontId="0" fillId="0" borderId="59" xfId="0" applyNumberFormat="1" applyBorder="1" applyAlignment="1" applyProtection="1">
      <alignment vertical="center"/>
      <protection locked="0"/>
    </xf>
    <xf numFmtId="49" fontId="0" fillId="37" borderId="38" xfId="0" applyNumberFormat="1" applyFill="1" applyBorder="1" applyAlignment="1" applyProtection="1">
      <alignment horizontal="left" vertical="center"/>
      <protection locked="0"/>
    </xf>
    <xf numFmtId="49" fontId="0" fillId="37" borderId="11" xfId="0" applyNumberFormat="1" applyFill="1" applyBorder="1" applyAlignment="1" applyProtection="1">
      <alignment horizontal="left" vertical="center"/>
      <protection locked="0"/>
    </xf>
    <xf numFmtId="49" fontId="0" fillId="37" borderId="13" xfId="0" applyNumberFormat="1" applyFill="1" applyBorder="1" applyAlignment="1" applyProtection="1">
      <alignment horizontal="left" vertical="center"/>
      <protection locked="0"/>
    </xf>
    <xf numFmtId="1" fontId="2" fillId="3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5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18" fillId="37" borderId="38" xfId="0" applyNumberFormat="1" applyFont="1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2" fillId="37" borderId="13" xfId="0" applyNumberFormat="1" applyFont="1" applyFill="1" applyBorder="1" applyAlignment="1" applyProtection="1">
      <alignment horizontal="left" vertical="center"/>
      <protection locked="0"/>
    </xf>
    <xf numFmtId="49" fontId="0" fillId="37" borderId="50" xfId="0" applyNumberFormat="1" applyFill="1" applyBorder="1" applyAlignment="1" applyProtection="1">
      <alignment vertical="center"/>
      <protection locked="0"/>
    </xf>
    <xf numFmtId="49" fontId="0" fillId="0" borderId="51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49" fontId="0" fillId="37" borderId="52" xfId="0" applyNumberFormat="1" applyFill="1" applyBorder="1" applyAlignment="1" applyProtection="1">
      <alignment vertical="center"/>
      <protection locked="0"/>
    </xf>
    <xf numFmtId="49" fontId="0" fillId="0" borderId="53" xfId="0" applyNumberFormat="1" applyBorder="1" applyAlignment="1" applyProtection="1">
      <alignment vertical="center"/>
      <protection locked="0"/>
    </xf>
    <xf numFmtId="49" fontId="0" fillId="0" borderId="63" xfId="0" applyNumberFormat="1" applyBorder="1" applyAlignment="1" applyProtection="1">
      <alignment vertical="center"/>
      <protection locked="0"/>
    </xf>
    <xf numFmtId="0" fontId="6" fillId="0" borderId="37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54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56" xfId="0" applyFill="1" applyBorder="1" applyAlignment="1" applyProtection="1">
      <alignment/>
      <protection locked="0"/>
    </xf>
    <xf numFmtId="0" fontId="0" fillId="37" borderId="37" xfId="0" applyFill="1" applyBorder="1" applyAlignment="1" applyProtection="1">
      <alignment/>
      <protection locked="0"/>
    </xf>
    <xf numFmtId="49" fontId="18" fillId="33" borderId="38" xfId="0" applyNumberFormat="1" applyFont="1" applyFill="1" applyBorder="1" applyAlignment="1" applyProtection="1">
      <alignment horizontal="left"/>
      <protection/>
    </xf>
    <xf numFmtId="49" fontId="2" fillId="33" borderId="11" xfId="0" applyNumberFormat="1" applyFont="1" applyFill="1" applyBorder="1" applyAlignment="1" applyProtection="1">
      <alignment horizontal="left"/>
      <protection/>
    </xf>
    <xf numFmtId="49" fontId="2" fillId="33" borderId="13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18" fontId="0" fillId="37" borderId="39" xfId="0" applyNumberFormat="1" applyFont="1" applyFill="1" applyBorder="1" applyAlignment="1" applyProtection="1">
      <alignment horizontal="left"/>
      <protection locked="0"/>
    </xf>
    <xf numFmtId="0" fontId="0" fillId="37" borderId="12" xfId="0" applyFill="1" applyBorder="1" applyAlignment="1" applyProtection="1">
      <alignment horizontal="left"/>
      <protection locked="0"/>
    </xf>
    <xf numFmtId="0" fontId="0" fillId="37" borderId="40" xfId="0" applyFill="1" applyBorder="1" applyAlignment="1" applyProtection="1">
      <alignment horizontal="left"/>
      <protection locked="0"/>
    </xf>
    <xf numFmtId="0" fontId="64" fillId="0" borderId="89" xfId="0" applyFont="1" applyBorder="1" applyAlignment="1">
      <alignment horizontal="center" vertical="center"/>
    </xf>
    <xf numFmtId="0" fontId="64" fillId="0" borderId="90" xfId="0" applyFont="1" applyBorder="1" applyAlignment="1">
      <alignment horizontal="center" vertical="center"/>
    </xf>
    <xf numFmtId="0" fontId="64" fillId="0" borderId="91" xfId="0" applyFont="1" applyBorder="1" applyAlignment="1">
      <alignment horizontal="center" vertical="center"/>
    </xf>
    <xf numFmtId="0" fontId="0" fillId="33" borderId="58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11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3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82"/>
  <sheetViews>
    <sheetView showGridLines="0" tabSelected="1" zoomScalePageLayoutView="0" workbookViewId="0" topLeftCell="A46">
      <selection activeCell="K63" sqref="K63"/>
    </sheetView>
  </sheetViews>
  <sheetFormatPr defaultColWidth="9.140625" defaultRowHeight="12.75"/>
  <cols>
    <col min="1" max="1" width="13.140625" style="425" customWidth="1"/>
    <col min="2" max="2" width="5.28125" style="425" customWidth="1"/>
    <col min="3" max="3" width="3.28125" style="425" customWidth="1"/>
    <col min="4" max="15" width="5.7109375" style="425" customWidth="1"/>
    <col min="16" max="16" width="7.7109375" style="425" customWidth="1"/>
    <col min="17" max="17" width="5.7109375" style="425" customWidth="1"/>
    <col min="18" max="18" width="8.7109375" style="425" customWidth="1"/>
    <col min="19" max="31" width="5.7109375" style="425" customWidth="1"/>
    <col min="32" max="16384" width="9.140625" style="425" customWidth="1"/>
  </cols>
  <sheetData>
    <row r="1" spans="1:15" ht="16.5" thickBot="1">
      <c r="A1" s="421" t="s">
        <v>167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3"/>
      <c r="O1" s="424"/>
    </row>
    <row r="2" spans="1:15" s="569" customFormat="1" ht="21" customHeight="1" thickBot="1">
      <c r="A2" s="567"/>
      <c r="B2" s="567"/>
      <c r="C2" s="567"/>
      <c r="D2" s="567"/>
      <c r="E2" s="567"/>
      <c r="F2" s="567"/>
      <c r="G2" s="567"/>
      <c r="H2" s="567"/>
      <c r="I2" s="567"/>
      <c r="J2" s="571" t="s">
        <v>255</v>
      </c>
      <c r="K2" s="627" t="s">
        <v>272</v>
      </c>
      <c r="L2" s="628"/>
      <c r="M2" s="628"/>
      <c r="N2" s="629"/>
      <c r="O2" s="568"/>
    </row>
    <row r="3" spans="1:15" s="569" customFormat="1" ht="6" customHeight="1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68"/>
    </row>
    <row r="4" spans="1:15" ht="12.75">
      <c r="A4" s="565" t="s">
        <v>181</v>
      </c>
      <c r="B4" s="565"/>
      <c r="C4" s="426"/>
      <c r="D4" s="426"/>
      <c r="E4" s="426"/>
      <c r="F4" s="426"/>
      <c r="G4" s="426"/>
      <c r="H4" s="566" t="s">
        <v>180</v>
      </c>
      <c r="I4" s="427"/>
      <c r="J4" s="427"/>
      <c r="K4" s="427"/>
      <c r="L4" s="427"/>
      <c r="M4" s="427"/>
      <c r="N4" s="428" t="s">
        <v>189</v>
      </c>
      <c r="O4" s="426"/>
    </row>
    <row r="5" spans="8:14" ht="13.5" thickBot="1">
      <c r="H5" s="427"/>
      <c r="L5" s="426"/>
      <c r="M5" s="426"/>
      <c r="N5" s="428" t="s">
        <v>182</v>
      </c>
    </row>
    <row r="6" spans="1:18" ht="16.5" thickBot="1">
      <c r="A6" s="429" t="s">
        <v>158</v>
      </c>
      <c r="B6" s="429"/>
      <c r="D6" s="633" t="s">
        <v>275</v>
      </c>
      <c r="E6" s="634"/>
      <c r="F6" s="635"/>
      <c r="H6" s="425" t="s">
        <v>154</v>
      </c>
      <c r="M6" s="420">
        <v>70690</v>
      </c>
      <c r="N6" s="630" t="str">
        <f>IF(AND(M9=1,ABS(M6-I56)&gt;0.2),"INPUT ERROR !!   ","  ")</f>
        <v>  </v>
      </c>
      <c r="O6" s="631"/>
      <c r="P6" s="631"/>
      <c r="Q6" s="631"/>
      <c r="R6" s="631"/>
    </row>
    <row r="7" spans="1:14" ht="12.75">
      <c r="A7" s="619">
        <f>IF(F12&lt;7,"Linear Transformation is not recommended","")</f>
      </c>
      <c r="B7" s="620"/>
      <c r="C7" s="620"/>
      <c r="D7" s="620"/>
      <c r="E7" s="620"/>
      <c r="F7" s="620"/>
      <c r="G7" s="620"/>
      <c r="H7" s="425" t="s">
        <v>253</v>
      </c>
      <c r="M7" s="135" t="s">
        <v>271</v>
      </c>
      <c r="N7" s="430"/>
    </row>
    <row r="8" spans="1:7" ht="13.5" thickBot="1">
      <c r="A8" s="619">
        <f>IF(F12&lt;7,"in case of scales with &lt; 7 possible ratings. ","")</f>
      </c>
      <c r="B8" s="620"/>
      <c r="C8" s="620"/>
      <c r="D8" s="620"/>
      <c r="E8" s="620"/>
      <c r="F8" s="620"/>
      <c r="G8" s="426"/>
    </row>
    <row r="9" spans="1:15" ht="13.5" thickBot="1">
      <c r="A9" s="431" t="s">
        <v>155</v>
      </c>
      <c r="B9" s="431"/>
      <c r="F9" s="432"/>
      <c r="H9" s="433" t="s">
        <v>1</v>
      </c>
      <c r="I9" s="433"/>
      <c r="J9" s="433"/>
      <c r="M9" s="434">
        <v>9</v>
      </c>
      <c r="N9" s="435" t="str">
        <f>IF(OR(M9=1,M9=2,M9=3,M9=4,M9=9),"  ","INPUT ERROR !!")</f>
        <v>  </v>
      </c>
      <c r="O9" s="426"/>
    </row>
    <row r="10" spans="1:15" ht="12.75">
      <c r="A10" s="425" t="s">
        <v>156</v>
      </c>
      <c r="F10" s="436">
        <v>7</v>
      </c>
      <c r="H10" s="425" t="s">
        <v>17</v>
      </c>
      <c r="N10" s="426"/>
      <c r="O10" s="426"/>
    </row>
    <row r="11" spans="1:15" ht="13.5" thickBot="1">
      <c r="A11" s="425" t="s">
        <v>157</v>
      </c>
      <c r="F11" s="437">
        <v>1</v>
      </c>
      <c r="H11" s="425" t="s">
        <v>5</v>
      </c>
      <c r="N11" s="426"/>
      <c r="O11" s="426"/>
    </row>
    <row r="12" spans="1:14" ht="13.5" thickBot="1">
      <c r="A12" s="425" t="s">
        <v>166</v>
      </c>
      <c r="F12" s="438">
        <f>F10-F11+1</f>
        <v>7</v>
      </c>
      <c r="H12" s="426" t="s">
        <v>4</v>
      </c>
      <c r="I12" s="426"/>
      <c r="J12" s="426"/>
      <c r="K12" s="426"/>
      <c r="L12" s="426"/>
      <c r="M12" s="426"/>
      <c r="N12" s="426"/>
    </row>
    <row r="13" spans="1:14" ht="13.5" thickBot="1">
      <c r="A13" s="425" t="s">
        <v>245</v>
      </c>
      <c r="F13" s="439">
        <v>0</v>
      </c>
      <c r="H13" s="426" t="s">
        <v>6</v>
      </c>
      <c r="I13" s="426"/>
      <c r="J13" s="426"/>
      <c r="K13" s="426"/>
      <c r="L13" s="426"/>
      <c r="M13" s="426"/>
      <c r="N13" s="426"/>
    </row>
    <row r="14" spans="6:14" ht="12.75">
      <c r="F14" s="440">
        <f>IF(OR(F10&gt;12,F11&lt;0,F10&lt;F11,F10=F11),"INPUT ERROR !!","")</f>
      </c>
      <c r="H14" s="426" t="s">
        <v>111</v>
      </c>
      <c r="I14" s="426"/>
      <c r="J14" s="426"/>
      <c r="K14" s="426"/>
      <c r="L14" s="426"/>
      <c r="M14" s="426"/>
      <c r="N14" s="426"/>
    </row>
    <row r="15" spans="1:15" ht="13.5" thickBot="1">
      <c r="A15" s="431" t="s">
        <v>164</v>
      </c>
      <c r="B15" s="431"/>
      <c r="H15" s="441"/>
      <c r="O15" s="583" t="str">
        <f>IF(OR(O16=90,O16=95),"  ","  95 or 90 !!")</f>
        <v>  </v>
      </c>
    </row>
    <row r="16" spans="1:16" ht="13.5" thickBot="1">
      <c r="A16" s="442" t="s">
        <v>159</v>
      </c>
      <c r="B16" s="442"/>
      <c r="E16" s="561"/>
      <c r="F16" s="555">
        <f>SUM(N20:N31)</f>
        <v>8</v>
      </c>
      <c r="G16" s="562"/>
      <c r="H16" s="426"/>
      <c r="I16" s="426"/>
      <c r="J16" s="426"/>
      <c r="K16" s="426"/>
      <c r="L16" s="426"/>
      <c r="M16" s="426"/>
      <c r="N16" s="605" t="s">
        <v>269</v>
      </c>
      <c r="O16" s="434">
        <v>95</v>
      </c>
      <c r="P16" s="606" t="s">
        <v>270</v>
      </c>
    </row>
    <row r="17" spans="1:17" ht="13.5" thickBot="1">
      <c r="A17" s="442"/>
      <c r="B17" s="442"/>
      <c r="E17" s="642">
        <f>IF(F16=2,"WRONG PROGRAMME GOTO WDH Compute DICHOT",IF(F16&gt;2.5,"","INPUT ERROR !!"))</f>
      </c>
      <c r="F17" s="643"/>
      <c r="G17" s="642"/>
      <c r="H17" s="642"/>
      <c r="I17" s="642"/>
      <c r="J17" s="642"/>
      <c r="K17" s="642"/>
      <c r="L17" s="642"/>
      <c r="M17" s="642"/>
      <c r="Q17" s="443" t="s">
        <v>249</v>
      </c>
    </row>
    <row r="18" spans="1:16" ht="13.5" thickBot="1">
      <c r="A18" s="442"/>
      <c r="B18" s="442"/>
      <c r="D18" s="443" t="s">
        <v>247</v>
      </c>
      <c r="E18" s="624" t="s">
        <v>260</v>
      </c>
      <c r="F18" s="625"/>
      <c r="G18" s="625"/>
      <c r="H18" s="625"/>
      <c r="I18" s="625"/>
      <c r="J18" s="625"/>
      <c r="K18" s="625"/>
      <c r="L18" s="625"/>
      <c r="M18" s="626"/>
      <c r="P18" s="443" t="s">
        <v>248</v>
      </c>
    </row>
    <row r="19" spans="5:16" ht="13.5" thickBot="1">
      <c r="E19" s="557">
        <f>IF(N20=0,"ENTER ALL RELEVANT  SPECIFICATION CELLS  !!","")</f>
      </c>
      <c r="O19" s="444" t="s">
        <v>175</v>
      </c>
      <c r="P19" s="444" t="s">
        <v>176</v>
      </c>
    </row>
    <row r="20" spans="1:16" ht="12.75">
      <c r="A20" s="425" t="s">
        <v>160</v>
      </c>
      <c r="C20" s="445">
        <v>1</v>
      </c>
      <c r="D20" s="445" t="s">
        <v>140</v>
      </c>
      <c r="E20" s="636" t="s">
        <v>276</v>
      </c>
      <c r="F20" s="637"/>
      <c r="G20" s="637"/>
      <c r="H20" s="637"/>
      <c r="I20" s="637"/>
      <c r="J20" s="637"/>
      <c r="K20" s="637"/>
      <c r="L20" s="637"/>
      <c r="M20" s="638"/>
      <c r="N20" s="554">
        <f>IF(E20="",0,1)</f>
        <v>1</v>
      </c>
      <c r="O20" s="446">
        <f>IF(C20&lt;($F$16+0.1),Means!E59," ")</f>
        <v>0</v>
      </c>
      <c r="P20" s="447">
        <f>IF(C20&lt;($F$16+0.1),Means!C59," ")</f>
      </c>
    </row>
    <row r="21" spans="3:16" ht="12.75">
      <c r="C21" s="448">
        <v>2</v>
      </c>
      <c r="D21" s="448" t="s">
        <v>141</v>
      </c>
      <c r="E21" s="621" t="s">
        <v>277</v>
      </c>
      <c r="F21" s="622"/>
      <c r="G21" s="622"/>
      <c r="H21" s="622"/>
      <c r="I21" s="622"/>
      <c r="J21" s="622"/>
      <c r="K21" s="622"/>
      <c r="L21" s="622"/>
      <c r="M21" s="623"/>
      <c r="N21" s="554">
        <f aca="true" t="shared" si="0" ref="N21:N31">IF(E21="",0,1)</f>
        <v>1</v>
      </c>
      <c r="O21" s="449">
        <f>IF(C21&lt;($F$16+0.1),Means!E58," ")</f>
        <v>0</v>
      </c>
      <c r="P21" s="450">
        <f>IF(C21&lt;($F$16+0.1),Means!C58," ")</f>
      </c>
    </row>
    <row r="22" spans="3:16" ht="12.75">
      <c r="C22" s="448">
        <v>3</v>
      </c>
      <c r="D22" s="448" t="s">
        <v>142</v>
      </c>
      <c r="E22" s="621" t="s">
        <v>278</v>
      </c>
      <c r="F22" s="622"/>
      <c r="G22" s="622"/>
      <c r="H22" s="622"/>
      <c r="I22" s="622"/>
      <c r="J22" s="622"/>
      <c r="K22" s="622"/>
      <c r="L22" s="622"/>
      <c r="M22" s="623"/>
      <c r="N22" s="554">
        <f t="shared" si="0"/>
        <v>1</v>
      </c>
      <c r="O22" s="449">
        <f>IF(C22&lt;($F$16+0.1),Means!E57," ")</f>
        <v>0</v>
      </c>
      <c r="P22" s="450">
        <f>IF(C22&lt;($F$16+0.1),Means!C57," ")</f>
      </c>
    </row>
    <row r="23" spans="3:16" ht="12.75">
      <c r="C23" s="448">
        <v>4</v>
      </c>
      <c r="D23" s="448" t="s">
        <v>143</v>
      </c>
      <c r="E23" s="621" t="s">
        <v>279</v>
      </c>
      <c r="F23" s="622"/>
      <c r="G23" s="622"/>
      <c r="H23" s="622"/>
      <c r="I23" s="622"/>
      <c r="J23" s="622"/>
      <c r="K23" s="622"/>
      <c r="L23" s="622"/>
      <c r="M23" s="623"/>
      <c r="N23" s="554">
        <f t="shared" si="0"/>
        <v>1</v>
      </c>
      <c r="O23" s="449">
        <f>IF(C23&lt;($F$16+0.1),Means!E56," ")</f>
        <v>0</v>
      </c>
      <c r="P23" s="450">
        <f>IF(C23&lt;($F$16+0.1),Means!C56," ")</f>
      </c>
    </row>
    <row r="24" spans="3:16" ht="12.75">
      <c r="C24" s="448">
        <v>5</v>
      </c>
      <c r="D24" s="448" t="s">
        <v>144</v>
      </c>
      <c r="E24" s="621" t="s">
        <v>280</v>
      </c>
      <c r="F24" s="622"/>
      <c r="G24" s="622"/>
      <c r="H24" s="622"/>
      <c r="I24" s="622"/>
      <c r="J24" s="622"/>
      <c r="K24" s="622"/>
      <c r="L24" s="622"/>
      <c r="M24" s="623"/>
      <c r="N24" s="554">
        <f t="shared" si="0"/>
        <v>1</v>
      </c>
      <c r="O24" s="449">
        <f>IF(C24&lt;($F$16+0.1),Means!E55," ")</f>
        <v>0</v>
      </c>
      <c r="P24" s="450">
        <f>IF(C24&lt;($F$16+0.1),Means!C55," ")</f>
      </c>
    </row>
    <row r="25" spans="3:16" ht="12.75">
      <c r="C25" s="448">
        <v>6</v>
      </c>
      <c r="D25" s="448" t="s">
        <v>74</v>
      </c>
      <c r="E25" s="621" t="s">
        <v>281</v>
      </c>
      <c r="F25" s="622"/>
      <c r="G25" s="622"/>
      <c r="H25" s="622"/>
      <c r="I25" s="622"/>
      <c r="J25" s="622"/>
      <c r="K25" s="622"/>
      <c r="L25" s="622"/>
      <c r="M25" s="623"/>
      <c r="N25" s="554">
        <f t="shared" si="0"/>
        <v>1</v>
      </c>
      <c r="O25" s="449">
        <f>IF(C25&lt;($F$16+0.1),Means!E54," ")</f>
        <v>0</v>
      </c>
      <c r="P25" s="450">
        <f>IF(C25&lt;($F$16+0.1),Means!C54," ")</f>
      </c>
    </row>
    <row r="26" spans="3:16" ht="12.75">
      <c r="C26" s="448">
        <v>7</v>
      </c>
      <c r="D26" s="448" t="s">
        <v>145</v>
      </c>
      <c r="E26" s="621" t="s">
        <v>282</v>
      </c>
      <c r="F26" s="622"/>
      <c r="G26" s="622"/>
      <c r="H26" s="622"/>
      <c r="I26" s="622"/>
      <c r="J26" s="622"/>
      <c r="K26" s="622"/>
      <c r="L26" s="622"/>
      <c r="M26" s="623"/>
      <c r="N26" s="554">
        <f t="shared" si="0"/>
        <v>1</v>
      </c>
      <c r="O26" s="449">
        <f>IF(C26&lt;($F$16+0.1),Means!E53," ")</f>
        <v>0</v>
      </c>
      <c r="P26" s="450">
        <f>IF(C26&lt;($F$16+0.1),Means!C53," ")</f>
      </c>
    </row>
    <row r="27" spans="3:16" ht="12.75">
      <c r="C27" s="448">
        <v>8</v>
      </c>
      <c r="D27" s="448" t="s">
        <v>146</v>
      </c>
      <c r="E27" s="621" t="s">
        <v>283</v>
      </c>
      <c r="F27" s="622"/>
      <c r="G27" s="622"/>
      <c r="H27" s="622"/>
      <c r="I27" s="622"/>
      <c r="J27" s="622"/>
      <c r="K27" s="622"/>
      <c r="L27" s="622"/>
      <c r="M27" s="623"/>
      <c r="N27" s="554">
        <f t="shared" si="0"/>
        <v>1</v>
      </c>
      <c r="O27" s="449">
        <f>IF(C27&lt;($F$16+0.1),Means!E52," ")</f>
        <v>0</v>
      </c>
      <c r="P27" s="450">
        <f>IF(C27&lt;($F$16+0.1),Means!C52," ")</f>
      </c>
    </row>
    <row r="28" spans="3:16" ht="12.75">
      <c r="C28" s="448">
        <v>9</v>
      </c>
      <c r="D28" s="448" t="s">
        <v>147</v>
      </c>
      <c r="E28" s="621"/>
      <c r="F28" s="622"/>
      <c r="G28" s="622"/>
      <c r="H28" s="622"/>
      <c r="I28" s="622"/>
      <c r="J28" s="622"/>
      <c r="K28" s="622"/>
      <c r="L28" s="622"/>
      <c r="M28" s="623"/>
      <c r="N28" s="554">
        <f t="shared" si="0"/>
        <v>0</v>
      </c>
      <c r="O28" s="449" t="str">
        <f>IF(C28&lt;($F$16+0.1),Means!E51," ")</f>
        <v> </v>
      </c>
      <c r="P28" s="450" t="str">
        <f>IF(C28&lt;($F$16+0.1),Means!C51," ")</f>
        <v> </v>
      </c>
    </row>
    <row r="29" spans="3:16" ht="12.75">
      <c r="C29" s="448">
        <v>10</v>
      </c>
      <c r="D29" s="448" t="s">
        <v>148</v>
      </c>
      <c r="E29" s="621"/>
      <c r="F29" s="622"/>
      <c r="G29" s="622"/>
      <c r="H29" s="622"/>
      <c r="I29" s="622"/>
      <c r="J29" s="622"/>
      <c r="K29" s="622"/>
      <c r="L29" s="622"/>
      <c r="M29" s="623"/>
      <c r="N29" s="554">
        <f t="shared" si="0"/>
        <v>0</v>
      </c>
      <c r="O29" s="449" t="str">
        <f>IF(C29&lt;($F$16+0.1),Means!E50," ")</f>
        <v> </v>
      </c>
      <c r="P29" s="450" t="str">
        <f>IF(C29&lt;($F$16+0.1),Means!C50," ")</f>
        <v> </v>
      </c>
    </row>
    <row r="30" spans="3:16" ht="12.75">
      <c r="C30" s="448">
        <v>11</v>
      </c>
      <c r="D30" s="448" t="s">
        <v>149</v>
      </c>
      <c r="E30" s="621"/>
      <c r="F30" s="622"/>
      <c r="G30" s="622"/>
      <c r="H30" s="622"/>
      <c r="I30" s="622"/>
      <c r="J30" s="622"/>
      <c r="K30" s="622"/>
      <c r="L30" s="622"/>
      <c r="M30" s="623"/>
      <c r="N30" s="554">
        <f t="shared" si="0"/>
        <v>0</v>
      </c>
      <c r="O30" s="449" t="str">
        <f>IF(C30&lt;($F$16+0.1),Means!E49," ")</f>
        <v> </v>
      </c>
      <c r="P30" s="450" t="str">
        <f>IF(C30&lt;($F$16+0.1),Means!C49," ")</f>
        <v> </v>
      </c>
    </row>
    <row r="31" spans="3:16" ht="13.5" thickBot="1">
      <c r="C31" s="451">
        <v>12</v>
      </c>
      <c r="D31" s="451" t="s">
        <v>150</v>
      </c>
      <c r="E31" s="639"/>
      <c r="F31" s="640"/>
      <c r="G31" s="640"/>
      <c r="H31" s="640"/>
      <c r="I31" s="640"/>
      <c r="J31" s="640"/>
      <c r="K31" s="640"/>
      <c r="L31" s="640"/>
      <c r="M31" s="641"/>
      <c r="N31" s="554">
        <f t="shared" si="0"/>
        <v>0</v>
      </c>
      <c r="O31" s="452" t="str">
        <f>IF(C31&lt;($F$16+0.1),Means!E48," ")</f>
        <v> </v>
      </c>
      <c r="P31" s="453" t="str">
        <f>IF(C31&lt;($F$16+0.1),Means!C48," ")</f>
        <v> </v>
      </c>
    </row>
    <row r="33" spans="1:12" ht="12.75">
      <c r="A33" s="454" t="s">
        <v>161</v>
      </c>
      <c r="B33" s="454"/>
      <c r="L33" s="425" t="s">
        <v>162</v>
      </c>
    </row>
    <row r="34" spans="4:17" ht="12.75">
      <c r="D34" s="426"/>
      <c r="E34" s="426"/>
      <c r="F34" s="455" t="s">
        <v>15</v>
      </c>
      <c r="G34" s="456" t="s">
        <v>16</v>
      </c>
      <c r="H34" s="426"/>
      <c r="I34" s="426"/>
      <c r="J34" s="426"/>
      <c r="K34" s="426"/>
      <c r="L34" s="426"/>
      <c r="M34" s="426"/>
      <c r="N34" s="426"/>
      <c r="O34" s="426"/>
      <c r="P34" s="426"/>
      <c r="Q34" s="426"/>
    </row>
    <row r="35" ht="12.75">
      <c r="B35" s="430" t="str">
        <f>IF(M9=9,"IGNORE THIS TABLE !!","   ")</f>
        <v>IGNORE THIS TABLE !!</v>
      </c>
    </row>
    <row r="36" spans="3:11" ht="13.5" thickBot="1">
      <c r="C36" s="425" t="s">
        <v>2</v>
      </c>
      <c r="H36" s="457" t="s">
        <v>101</v>
      </c>
      <c r="I36" s="458"/>
      <c r="J36" s="458"/>
      <c r="K36" s="458"/>
    </row>
    <row r="37" spans="2:17" ht="13.5" thickBot="1">
      <c r="B37" s="459"/>
      <c r="C37" s="459"/>
      <c r="D37" s="460">
        <v>1</v>
      </c>
      <c r="E37" s="461">
        <f aca="true" t="shared" si="1" ref="E37:O37">D37+1</f>
        <v>2</v>
      </c>
      <c r="F37" s="461">
        <f t="shared" si="1"/>
        <v>3</v>
      </c>
      <c r="G37" s="461">
        <f t="shared" si="1"/>
        <v>4</v>
      </c>
      <c r="H37" s="461">
        <f t="shared" si="1"/>
        <v>5</v>
      </c>
      <c r="I37" s="461">
        <f t="shared" si="1"/>
        <v>6</v>
      </c>
      <c r="J37" s="461">
        <f t="shared" si="1"/>
        <v>7</v>
      </c>
      <c r="K37" s="461">
        <f t="shared" si="1"/>
        <v>8</v>
      </c>
      <c r="L37" s="461">
        <f t="shared" si="1"/>
        <v>9</v>
      </c>
      <c r="M37" s="461">
        <f t="shared" si="1"/>
        <v>10</v>
      </c>
      <c r="N37" s="461">
        <f t="shared" si="1"/>
        <v>11</v>
      </c>
      <c r="O37" s="462">
        <f t="shared" si="1"/>
        <v>12</v>
      </c>
      <c r="P37" s="644" t="str">
        <f>IF(M9=3,"ENTER SUM","SUM")</f>
        <v>SUM</v>
      </c>
      <c r="Q37" s="645"/>
    </row>
    <row r="38" spans="2:17" ht="13.5" thickBot="1">
      <c r="B38" s="463" t="s">
        <v>193</v>
      </c>
      <c r="C38" s="463"/>
      <c r="D38" s="464" t="s">
        <v>140</v>
      </c>
      <c r="E38" s="465" t="s">
        <v>141</v>
      </c>
      <c r="F38" s="465" t="s">
        <v>142</v>
      </c>
      <c r="G38" s="465" t="s">
        <v>143</v>
      </c>
      <c r="H38" s="465" t="s">
        <v>144</v>
      </c>
      <c r="I38" s="465" t="s">
        <v>74</v>
      </c>
      <c r="J38" s="465" t="s">
        <v>145</v>
      </c>
      <c r="K38" s="465" t="s">
        <v>146</v>
      </c>
      <c r="L38" s="465" t="s">
        <v>147</v>
      </c>
      <c r="M38" s="465" t="s">
        <v>148</v>
      </c>
      <c r="N38" s="465" t="s">
        <v>149</v>
      </c>
      <c r="O38" s="466" t="s">
        <v>150</v>
      </c>
      <c r="P38" s="467" t="s">
        <v>7</v>
      </c>
      <c r="Q38" s="467" t="s">
        <v>8</v>
      </c>
    </row>
    <row r="39" spans="1:17" ht="12.75">
      <c r="A39" s="468" t="s">
        <v>10</v>
      </c>
      <c r="B39" s="469" t="str">
        <f aca="true" t="shared" si="2" ref="B39:B49">IF($M$9&lt;5,IF(F$13=1,IF(AND(B$50-C39+1.5&gt;F$11,B$50-C39+0.5&lt;F$10,$M$9&lt;5),B$50-C39+1," "),IF(AND(B$50+C39-0.5&gt;F$11,B$50+C39-1.5&lt;F$10,$M$9&lt;5),B$50+C39-1,"  ")),"  ")</f>
        <v>  </v>
      </c>
      <c r="C39" s="470">
        <v>12</v>
      </c>
      <c r="D39" s="471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3"/>
      <c r="P39" s="474"/>
      <c r="Q39" s="475">
        <f aca="true" t="shared" si="3" ref="Q39:Q50">IF(AND($M$9=3,C39-$F$12&lt;0.5),SUM(D39:O39),"")</f>
      </c>
    </row>
    <row r="40" spans="1:17" ht="12.75">
      <c r="A40" s="468" t="s">
        <v>11</v>
      </c>
      <c r="B40" s="469" t="str">
        <f t="shared" si="2"/>
        <v>  </v>
      </c>
      <c r="C40" s="470">
        <v>11</v>
      </c>
      <c r="D40" s="476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8"/>
      <c r="P40" s="479"/>
      <c r="Q40" s="480">
        <f t="shared" si="3"/>
      </c>
    </row>
    <row r="41" spans="2:17" ht="12.75">
      <c r="B41" s="469" t="str">
        <f t="shared" si="2"/>
        <v>  </v>
      </c>
      <c r="C41" s="470">
        <v>10</v>
      </c>
      <c r="D41" s="476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8"/>
      <c r="P41" s="479"/>
      <c r="Q41" s="480">
        <f t="shared" si="3"/>
      </c>
    </row>
    <row r="42" spans="1:17" ht="12.75">
      <c r="A42" s="481" t="s">
        <v>46</v>
      </c>
      <c r="B42" s="469" t="str">
        <f t="shared" si="2"/>
        <v>  </v>
      </c>
      <c r="C42" s="470">
        <v>9</v>
      </c>
      <c r="D42" s="476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8"/>
      <c r="P42" s="479"/>
      <c r="Q42" s="480">
        <f t="shared" si="3"/>
      </c>
    </row>
    <row r="43" spans="1:17" ht="12.75">
      <c r="A43" s="481" t="s">
        <v>45</v>
      </c>
      <c r="B43" s="469" t="str">
        <f t="shared" si="2"/>
        <v>  </v>
      </c>
      <c r="C43" s="470">
        <v>8</v>
      </c>
      <c r="D43" s="476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8"/>
      <c r="P43" s="479"/>
      <c r="Q43" s="480">
        <f t="shared" si="3"/>
      </c>
    </row>
    <row r="44" spans="1:17" ht="12.75">
      <c r="A44" s="482" t="s">
        <v>13</v>
      </c>
      <c r="B44" s="469" t="str">
        <f t="shared" si="2"/>
        <v>  </v>
      </c>
      <c r="C44" s="470">
        <v>7</v>
      </c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8"/>
      <c r="P44" s="479"/>
      <c r="Q44" s="480">
        <f t="shared" si="3"/>
      </c>
    </row>
    <row r="45" spans="1:19" ht="12.75">
      <c r="A45" s="481" t="s">
        <v>45</v>
      </c>
      <c r="B45" s="469" t="str">
        <f t="shared" si="2"/>
        <v>  </v>
      </c>
      <c r="C45" s="470">
        <v>6</v>
      </c>
      <c r="D45" s="476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8"/>
      <c r="P45" s="479"/>
      <c r="Q45" s="480">
        <f t="shared" si="3"/>
      </c>
      <c r="S45"/>
    </row>
    <row r="46" spans="1:19" ht="12.75">
      <c r="A46" s="481" t="s">
        <v>45</v>
      </c>
      <c r="B46" s="469" t="str">
        <f t="shared" si="2"/>
        <v>  </v>
      </c>
      <c r="C46" s="470">
        <v>5</v>
      </c>
      <c r="D46" s="476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8"/>
      <c r="P46" s="479"/>
      <c r="Q46" s="480">
        <f t="shared" si="3"/>
      </c>
      <c r="S46"/>
    </row>
    <row r="47" spans="1:19" ht="12.75">
      <c r="A47" s="481" t="s">
        <v>46</v>
      </c>
      <c r="B47" s="469" t="str">
        <f t="shared" si="2"/>
        <v>  </v>
      </c>
      <c r="C47" s="470">
        <v>4</v>
      </c>
      <c r="D47" s="476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8"/>
      <c r="P47" s="479"/>
      <c r="Q47" s="480">
        <f t="shared" si="3"/>
      </c>
      <c r="S47"/>
    </row>
    <row r="48" spans="1:19" ht="12.75">
      <c r="A48" s="481"/>
      <c r="B48" s="469" t="str">
        <f t="shared" si="2"/>
        <v>  </v>
      </c>
      <c r="C48" s="470">
        <v>3</v>
      </c>
      <c r="D48" s="476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8"/>
      <c r="P48" s="479"/>
      <c r="Q48" s="480">
        <f t="shared" si="3"/>
      </c>
      <c r="S48"/>
    </row>
    <row r="49" spans="1:19" ht="12.75">
      <c r="A49" s="468" t="s">
        <v>10</v>
      </c>
      <c r="B49" s="469" t="str">
        <f t="shared" si="2"/>
        <v>  </v>
      </c>
      <c r="C49" s="470">
        <v>2</v>
      </c>
      <c r="D49" s="476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8"/>
      <c r="P49" s="479"/>
      <c r="Q49" s="480">
        <f t="shared" si="3"/>
      </c>
      <c r="S49"/>
    </row>
    <row r="50" spans="1:19" ht="13.5" thickBot="1">
      <c r="A50" s="483" t="s">
        <v>12</v>
      </c>
      <c r="B50" s="484" t="str">
        <f>IF(M9&gt;5,"  ",IF(F13=1,F10,F11))</f>
        <v>  </v>
      </c>
      <c r="C50" s="485">
        <v>1</v>
      </c>
      <c r="D50" s="486"/>
      <c r="E50" s="487"/>
      <c r="F50" s="487"/>
      <c r="G50" s="487"/>
      <c r="H50" s="487"/>
      <c r="I50" s="487"/>
      <c r="J50" s="487"/>
      <c r="K50" s="487"/>
      <c r="L50" s="487"/>
      <c r="M50" s="487"/>
      <c r="N50" s="487"/>
      <c r="O50" s="488"/>
      <c r="P50" s="489"/>
      <c r="Q50" s="490">
        <f t="shared" si="3"/>
      </c>
      <c r="S50"/>
    </row>
    <row r="51" spans="1:19" ht="13.5" thickBot="1">
      <c r="A51" s="445" t="str">
        <f>IF(M9=4,"ENTER SUM","SUM")</f>
        <v>SUM</v>
      </c>
      <c r="B51" s="491" t="s">
        <v>195</v>
      </c>
      <c r="C51" s="492"/>
      <c r="D51" s="560"/>
      <c r="E51" s="560"/>
      <c r="F51" s="560"/>
      <c r="G51" s="560"/>
      <c r="H51" s="493"/>
      <c r="I51" s="493"/>
      <c r="J51" s="493"/>
      <c r="K51" s="493"/>
      <c r="L51" s="493"/>
      <c r="M51" s="493"/>
      <c r="N51" s="493"/>
      <c r="O51" s="494"/>
      <c r="P51" s="495"/>
      <c r="Q51" s="496"/>
      <c r="S51"/>
    </row>
    <row r="52" spans="1:19" ht="13.5" thickBot="1">
      <c r="A52" s="497"/>
      <c r="B52" s="498" t="s">
        <v>196</v>
      </c>
      <c r="C52" s="499"/>
      <c r="D52" s="500">
        <f aca="true" t="shared" si="4" ref="D52:O52">IF(AND($M$9=4,$F$16-D37&gt;-0.5),SUM(D39:D50),"")</f>
      </c>
      <c r="E52" s="501">
        <f t="shared" si="4"/>
      </c>
      <c r="F52" s="501">
        <f t="shared" si="4"/>
      </c>
      <c r="G52" s="501">
        <f t="shared" si="4"/>
      </c>
      <c r="H52" s="501">
        <f t="shared" si="4"/>
      </c>
      <c r="I52" s="501">
        <f t="shared" si="4"/>
      </c>
      <c r="J52" s="501">
        <f t="shared" si="4"/>
      </c>
      <c r="K52" s="501">
        <f t="shared" si="4"/>
      </c>
      <c r="L52" s="501">
        <f t="shared" si="4"/>
      </c>
      <c r="M52" s="501">
        <f t="shared" si="4"/>
      </c>
      <c r="N52" s="501">
        <f t="shared" si="4"/>
      </c>
      <c r="O52" s="502">
        <f t="shared" si="4"/>
      </c>
      <c r="P52" s="503"/>
      <c r="Q52" s="536" t="str">
        <f>IF($M$9=2,SUM(D39:O50)," ")</f>
        <v> </v>
      </c>
      <c r="S52"/>
    </row>
    <row r="53" spans="3:11" ht="12.75">
      <c r="C53" s="564">
        <f>COUNT(D50:O50)</f>
        <v>0</v>
      </c>
      <c r="D53" s="563" t="s">
        <v>254</v>
      </c>
      <c r="E53" s="563"/>
      <c r="F53" s="563"/>
      <c r="H53" s="443"/>
      <c r="I53" s="534" t="str">
        <f>IF(M9=2," 100",IF(M9=3,100*F12,IF(M9=4,100*F16,"   ")))</f>
        <v>   </v>
      </c>
      <c r="J53" s="632" t="str">
        <f>IF(OR(M9=1,M9=9)," ",IF(ABS(I53/I56-1)&gt;0.1,"  ERROR ??",""))</f>
        <v> </v>
      </c>
      <c r="K53" s="632"/>
    </row>
    <row r="54" spans="3:11" ht="12.75">
      <c r="C54" s="556"/>
      <c r="D54" s="557" t="str">
        <f>IF(ABS(C53-F16)&lt;0.5,"","INPUT ERROR NR OF CORRELATE LEVELS !!")</f>
        <v>INPUT ERROR NR OF CORRELATE LEVELS !!</v>
      </c>
      <c r="E54"/>
      <c r="J54" s="426"/>
      <c r="K54" s="559"/>
    </row>
    <row r="55" spans="3:11" ht="12.75">
      <c r="C55" s="556"/>
      <c r="D55" s="557"/>
      <c r="E55"/>
      <c r="H55" s="443"/>
      <c r="I55" s="443">
        <f>IF(OR(M9=2,M9=3,M9=4),"To be expected value approximately  ","")</f>
      </c>
      <c r="J55" s="558"/>
      <c r="K55" s="559"/>
    </row>
    <row r="56" spans="1:18" ht="12.75">
      <c r="A56" s="504"/>
      <c r="B56" s="504"/>
      <c r="C56" s="504"/>
      <c r="D56" s="504" t="s">
        <v>14</v>
      </c>
      <c r="E56" s="504"/>
      <c r="F56" s="504"/>
      <c r="G56" s="504"/>
      <c r="H56" s="504"/>
      <c r="I56" s="505">
        <f>SUM(D39:O50)</f>
        <v>0</v>
      </c>
      <c r="J56" s="504"/>
      <c r="K56" s="504" t="s">
        <v>50</v>
      </c>
      <c r="L56" s="504"/>
      <c r="M56" s="504"/>
      <c r="N56" s="504"/>
      <c r="P56" s="506">
        <f>IF($M$9=1,SUM(D39:O50),IF($M$9=2,M6,IF($M$9=3,SUM(P39:P50),IF($M$9=4,SUM(D51:O51),""))))</f>
      </c>
      <c r="R56" s="504"/>
    </row>
    <row r="57" spans="1:30" s="509" customFormat="1" ht="12.75">
      <c r="A57" s="507"/>
      <c r="B57" s="507"/>
      <c r="C57" s="507"/>
      <c r="D57" s="507"/>
      <c r="E57" s="507"/>
      <c r="F57" s="507"/>
      <c r="G57" s="507"/>
      <c r="H57" s="507"/>
      <c r="I57" s="508"/>
      <c r="J57" s="507"/>
      <c r="K57" s="507"/>
      <c r="L57" s="507"/>
      <c r="M57" s="507"/>
      <c r="N57" s="507"/>
      <c r="P57" s="510"/>
      <c r="R57" s="507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</row>
    <row r="58" spans="1:2" ht="12.75">
      <c r="A58" s="454" t="s">
        <v>165</v>
      </c>
      <c r="B58" s="454"/>
    </row>
    <row r="59" spans="4:13" ht="13.5" thickBot="1">
      <c r="D59" s="430" t="str">
        <f>IF(M9=9,"Clear the yellow cells before data entry.","IGNORE THIS TABLE")</f>
        <v>Clear the yellow cells before data entry.</v>
      </c>
      <c r="M59" s="442" t="s">
        <v>163</v>
      </c>
    </row>
    <row r="60" spans="1:16" ht="13.5" thickBot="1">
      <c r="A60" s="504"/>
      <c r="B60" s="504"/>
      <c r="C60" s="511" t="s">
        <v>120</v>
      </c>
      <c r="D60" s="460">
        <v>1</v>
      </c>
      <c r="E60" s="461">
        <f aca="true" t="shared" si="5" ref="E60:O60">D60+1</f>
        <v>2</v>
      </c>
      <c r="F60" s="461">
        <f t="shared" si="5"/>
        <v>3</v>
      </c>
      <c r="G60" s="461">
        <f t="shared" si="5"/>
        <v>4</v>
      </c>
      <c r="H60" s="461">
        <f t="shared" si="5"/>
        <v>5</v>
      </c>
      <c r="I60" s="461">
        <f t="shared" si="5"/>
        <v>6</v>
      </c>
      <c r="J60" s="461">
        <f t="shared" si="5"/>
        <v>7</v>
      </c>
      <c r="K60" s="461">
        <f t="shared" si="5"/>
        <v>8</v>
      </c>
      <c r="L60" s="461">
        <f t="shared" si="5"/>
        <v>9</v>
      </c>
      <c r="M60" s="461">
        <f t="shared" si="5"/>
        <v>10</v>
      </c>
      <c r="N60" s="461">
        <f t="shared" si="5"/>
        <v>11</v>
      </c>
      <c r="O60" s="462">
        <f t="shared" si="5"/>
        <v>12</v>
      </c>
      <c r="P60" s="512" t="s">
        <v>71</v>
      </c>
    </row>
    <row r="61" spans="1:16" ht="13.5" thickBot="1">
      <c r="A61" s="504"/>
      <c r="B61" s="504"/>
      <c r="C61" s="511"/>
      <c r="D61" s="464" t="s">
        <v>140</v>
      </c>
      <c r="E61" s="465" t="s">
        <v>141</v>
      </c>
      <c r="F61" s="465" t="s">
        <v>142</v>
      </c>
      <c r="G61" s="465" t="s">
        <v>143</v>
      </c>
      <c r="H61" s="465" t="s">
        <v>144</v>
      </c>
      <c r="I61" s="465" t="s">
        <v>74</v>
      </c>
      <c r="J61" s="465" t="s">
        <v>145</v>
      </c>
      <c r="K61" s="465" t="s">
        <v>146</v>
      </c>
      <c r="L61" s="465" t="s">
        <v>147</v>
      </c>
      <c r="M61" s="465" t="s">
        <v>148</v>
      </c>
      <c r="N61" s="465" t="s">
        <v>149</v>
      </c>
      <c r="O61" s="466" t="s">
        <v>150</v>
      </c>
      <c r="P61" s="513"/>
    </row>
    <row r="62" spans="1:16" ht="12.75">
      <c r="A62" s="504"/>
      <c r="B62" s="504"/>
      <c r="C62" s="511" t="s">
        <v>121</v>
      </c>
      <c r="D62" s="514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6"/>
      <c r="P62" s="517">
        <f>SUM(D62:O62)</f>
        <v>0</v>
      </c>
    </row>
    <row r="63" spans="1:16" ht="12.75">
      <c r="A63" s="504"/>
      <c r="B63" s="504"/>
      <c r="C63" s="511" t="s">
        <v>103</v>
      </c>
      <c r="D63" s="518">
        <v>5.25</v>
      </c>
      <c r="E63" s="519">
        <v>5.18</v>
      </c>
      <c r="F63" s="519"/>
      <c r="G63" s="519">
        <v>5.15</v>
      </c>
      <c r="H63" s="519">
        <v>5.3</v>
      </c>
      <c r="I63" s="519">
        <v>5.16</v>
      </c>
      <c r="J63" s="519">
        <v>5.39</v>
      </c>
      <c r="K63" s="519">
        <v>5.29</v>
      </c>
      <c r="L63" s="519"/>
      <c r="M63" s="519"/>
      <c r="N63" s="519"/>
      <c r="O63" s="520"/>
      <c r="P63" s="521" t="str">
        <f>IF(P62&gt;1,(D62*D63+E62*E63+F62*F63+G62*G63+H62*H63+I62*I63+J62*J63+K62*K63+L62*L63+M62*M63+N62*N63+O62*O63)/P62," ")</f>
        <v> </v>
      </c>
    </row>
    <row r="64" spans="1:16" ht="13.5" thickBot="1">
      <c r="A64" s="504"/>
      <c r="B64" s="504"/>
      <c r="C64" s="511" t="s">
        <v>102</v>
      </c>
      <c r="D64" s="522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4"/>
      <c r="P64" s="525" t="str">
        <f>IF(P62&gt;F16,SQRT(((D62-1)*D64*D64+(E62-1)*E64*E64+(F62-1)*F64*F64+(G62-1)*G64*G64+(H62-1)*H64*H64+(I62-1)*I64*I64+(J62-1)*J64*J64+(K62-1)*K64*K64+(L62-1)*L64*L64+(M62-1)*M64*M64+(N62-1)*N64*N64+(O62-1)*O64*O64)/(P62-F16))," ")</f>
        <v> </v>
      </c>
    </row>
    <row r="65" spans="3:16" ht="12.75">
      <c r="C65" s="443" t="s">
        <v>122</v>
      </c>
      <c r="D65" s="526" t="str">
        <f aca="true" t="shared" si="6" ref="D65:O65">IF(AND($M$9&gt;8,D$60&lt;$F$16+0.1,OR(D$63&lt;$F$11,D$63&gt;$F$10,D$64&gt;SQRT(ABS(($F$10-D$63)*(D$63-$F$11))))),"INPUT","  ")</f>
        <v>  </v>
      </c>
      <c r="E65" s="526" t="str">
        <f t="shared" si="6"/>
        <v>  </v>
      </c>
      <c r="F65" s="526" t="str">
        <f t="shared" si="6"/>
        <v>INPUT</v>
      </c>
      <c r="G65" s="526" t="str">
        <f t="shared" si="6"/>
        <v>  </v>
      </c>
      <c r="H65" s="526" t="str">
        <f t="shared" si="6"/>
        <v>  </v>
      </c>
      <c r="I65" s="526" t="str">
        <f t="shared" si="6"/>
        <v>  </v>
      </c>
      <c r="J65" s="526" t="str">
        <f t="shared" si="6"/>
        <v>  </v>
      </c>
      <c r="K65" s="526" t="str">
        <f t="shared" si="6"/>
        <v>  </v>
      </c>
      <c r="L65" s="526" t="str">
        <f t="shared" si="6"/>
        <v>  </v>
      </c>
      <c r="M65" s="526" t="str">
        <f t="shared" si="6"/>
        <v>  </v>
      </c>
      <c r="N65" s="526" t="str">
        <f t="shared" si="6"/>
        <v>  </v>
      </c>
      <c r="O65" s="526" t="str">
        <f t="shared" si="6"/>
        <v>  </v>
      </c>
      <c r="P65" s="442"/>
    </row>
    <row r="66" spans="1:17" ht="13.5" thickBot="1">
      <c r="A66" s="527"/>
      <c r="B66" s="527"/>
      <c r="C66" s="528"/>
      <c r="D66" s="529" t="str">
        <f aca="true" t="shared" si="7" ref="D66:O66">IF(AND($M$9&gt;8,D$60&lt;$F$16+0.1,OR(D$63&lt;$F$11,D$63&gt;$F$10,D$64&gt;SQRT(ABS(($F$10-D$63)*(D$63-$F$11))))),"ERROR","  ")</f>
        <v>  </v>
      </c>
      <c r="E66" s="529" t="str">
        <f t="shared" si="7"/>
        <v>  </v>
      </c>
      <c r="F66" s="529" t="str">
        <f t="shared" si="7"/>
        <v>ERROR</v>
      </c>
      <c r="G66" s="529" t="str">
        <f t="shared" si="7"/>
        <v>  </v>
      </c>
      <c r="H66" s="529" t="str">
        <f t="shared" si="7"/>
        <v>  </v>
      </c>
      <c r="I66" s="529" t="str">
        <f t="shared" si="7"/>
        <v>  </v>
      </c>
      <c r="J66" s="529" t="str">
        <f t="shared" si="7"/>
        <v>  </v>
      </c>
      <c r="K66" s="529" t="str">
        <f t="shared" si="7"/>
        <v>  </v>
      </c>
      <c r="L66" s="529" t="str">
        <f t="shared" si="7"/>
        <v>  </v>
      </c>
      <c r="M66" s="529" t="str">
        <f t="shared" si="7"/>
        <v>  </v>
      </c>
      <c r="N66" s="529" t="str">
        <f t="shared" si="7"/>
        <v>  </v>
      </c>
      <c r="O66" s="529" t="str">
        <f t="shared" si="7"/>
        <v>  </v>
      </c>
      <c r="P66" s="530"/>
      <c r="Q66" s="527"/>
    </row>
    <row r="67" spans="1:19" s="509" customFormat="1" ht="13.5" thickTop="1">
      <c r="A67" s="531"/>
      <c r="B67" s="531"/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2"/>
      <c r="P67" s="533"/>
      <c r="Q67" s="532"/>
      <c r="R67" s="507"/>
      <c r="S67" s="507"/>
    </row>
    <row r="68" spans="1:19" s="509" customFormat="1" ht="12.75">
      <c r="A68" s="507"/>
      <c r="B68" s="507"/>
      <c r="C68" s="507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507"/>
    </row>
    <row r="69" spans="1:19" s="509" customFormat="1" ht="12.75">
      <c r="A69" s="507"/>
      <c r="B69" s="507"/>
      <c r="C69" s="507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507"/>
    </row>
    <row r="70" spans="1:19" s="509" customFormat="1" ht="12.75">
      <c r="A70" s="507"/>
      <c r="B70" s="507"/>
      <c r="C70" s="507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507"/>
    </row>
    <row r="71" spans="1:19" s="509" customFormat="1" ht="12.75">
      <c r="A71" s="507"/>
      <c r="B71" s="507"/>
      <c r="C71" s="507"/>
      <c r="D71" s="507"/>
      <c r="E71" s="507"/>
      <c r="F71" s="507"/>
      <c r="G71" s="507"/>
      <c r="H71" s="425"/>
      <c r="I71" s="508"/>
      <c r="J71" s="507"/>
      <c r="K71" s="507"/>
      <c r="L71" s="507"/>
      <c r="M71" s="507"/>
      <c r="N71" s="507"/>
      <c r="P71" s="510"/>
      <c r="R71" s="507"/>
      <c r="S71" s="507"/>
    </row>
    <row r="72" spans="1:19" s="509" customFormat="1" ht="12.75">
      <c r="A72" s="507"/>
      <c r="B72" s="507"/>
      <c r="C72" s="507"/>
      <c r="D72" s="507"/>
      <c r="E72" s="507"/>
      <c r="F72" s="507"/>
      <c r="G72" s="507"/>
      <c r="H72" s="425"/>
      <c r="I72" s="508"/>
      <c r="J72" s="507"/>
      <c r="K72" s="507"/>
      <c r="L72" s="507"/>
      <c r="M72" s="507"/>
      <c r="N72" s="507"/>
      <c r="P72" s="510"/>
      <c r="R72" s="507"/>
      <c r="S72" s="507"/>
    </row>
    <row r="73" spans="1:19" s="509" customFormat="1" ht="12.75">
      <c r="A73" s="507"/>
      <c r="B73" s="507"/>
      <c r="C73" s="507"/>
      <c r="D73" s="507"/>
      <c r="E73" s="507"/>
      <c r="F73" s="507"/>
      <c r="G73" s="507"/>
      <c r="H73" s="425"/>
      <c r="I73" s="508"/>
      <c r="J73" s="507"/>
      <c r="K73" s="507"/>
      <c r="L73" s="507"/>
      <c r="M73" s="507"/>
      <c r="N73" s="507"/>
      <c r="P73" s="510"/>
      <c r="R73" s="507"/>
      <c r="S73" s="507"/>
    </row>
    <row r="74" spans="1:19" s="509" customFormat="1" ht="12.75">
      <c r="A74" s="507"/>
      <c r="B74" s="507"/>
      <c r="C74" s="507"/>
      <c r="D74" s="507"/>
      <c r="E74" s="507"/>
      <c r="F74" s="507"/>
      <c r="G74" s="507"/>
      <c r="H74" s="507"/>
      <c r="I74" s="508"/>
      <c r="J74" s="507"/>
      <c r="K74" s="507"/>
      <c r="L74" s="507"/>
      <c r="M74" s="507"/>
      <c r="N74" s="507"/>
      <c r="P74" s="510"/>
      <c r="R74" s="507"/>
      <c r="S74" s="507"/>
    </row>
    <row r="75" spans="1:19" s="509" customFormat="1" ht="12.75">
      <c r="A75" s="507"/>
      <c r="B75" s="507"/>
      <c r="C75" s="507"/>
      <c r="D75" s="507"/>
      <c r="E75" s="507"/>
      <c r="F75" s="507"/>
      <c r="G75" s="507"/>
      <c r="H75" s="507"/>
      <c r="I75" s="508"/>
      <c r="J75" s="507"/>
      <c r="K75" s="507"/>
      <c r="L75" s="507"/>
      <c r="M75" s="507"/>
      <c r="N75" s="507"/>
      <c r="P75" s="510"/>
      <c r="R75" s="507"/>
      <c r="S75" s="507"/>
    </row>
    <row r="76" spans="1:19" s="509" customFormat="1" ht="12.75">
      <c r="A76" s="507"/>
      <c r="B76" s="507"/>
      <c r="C76" s="507"/>
      <c r="D76" s="507"/>
      <c r="E76" s="507"/>
      <c r="F76" s="507"/>
      <c r="G76" s="507"/>
      <c r="H76" s="507"/>
      <c r="I76" s="508"/>
      <c r="J76" s="507"/>
      <c r="K76" s="507"/>
      <c r="L76" s="507"/>
      <c r="M76" s="507"/>
      <c r="N76" s="507"/>
      <c r="P76" s="510"/>
      <c r="R76" s="507"/>
      <c r="S76" s="507"/>
    </row>
    <row r="77" spans="1:19" s="509" customFormat="1" ht="12.75">
      <c r="A77" s="507"/>
      <c r="B77" s="507"/>
      <c r="C77" s="507"/>
      <c r="D77" s="507"/>
      <c r="E77" s="507"/>
      <c r="F77" s="507"/>
      <c r="G77" s="507"/>
      <c r="H77" s="507"/>
      <c r="I77" s="508"/>
      <c r="J77" s="507"/>
      <c r="K77" s="507"/>
      <c r="L77" s="507"/>
      <c r="M77" s="507"/>
      <c r="N77" s="507"/>
      <c r="P77" s="510"/>
      <c r="R77" s="507"/>
      <c r="S77" s="507"/>
    </row>
    <row r="78" spans="1:19" s="509" customFormat="1" ht="12.75">
      <c r="A78" s="507"/>
      <c r="B78" s="507"/>
      <c r="C78" s="507"/>
      <c r="D78" s="507"/>
      <c r="E78" s="507"/>
      <c r="F78" s="507"/>
      <c r="G78" s="507"/>
      <c r="H78" s="507"/>
      <c r="I78" s="508"/>
      <c r="J78" s="507"/>
      <c r="K78" s="507"/>
      <c r="L78" s="507"/>
      <c r="M78" s="507"/>
      <c r="N78" s="507"/>
      <c r="P78" s="510"/>
      <c r="R78" s="507"/>
      <c r="S78" s="507"/>
    </row>
    <row r="79" spans="1:19" s="509" customFormat="1" ht="12.75">
      <c r="A79" s="507"/>
      <c r="B79" s="507"/>
      <c r="C79" s="507"/>
      <c r="D79" s="507"/>
      <c r="E79" s="507"/>
      <c r="F79" s="507"/>
      <c r="G79" s="507"/>
      <c r="H79" s="507"/>
      <c r="I79" s="508"/>
      <c r="J79" s="507"/>
      <c r="K79" s="507"/>
      <c r="L79" s="507"/>
      <c r="M79" s="507"/>
      <c r="N79" s="507"/>
      <c r="P79" s="510"/>
      <c r="R79" s="507"/>
      <c r="S79" s="507"/>
    </row>
    <row r="80" spans="1:19" s="509" customFormat="1" ht="12.75">
      <c r="A80" s="507"/>
      <c r="B80" s="507"/>
      <c r="C80" s="507"/>
      <c r="D80" s="507"/>
      <c r="E80" s="507"/>
      <c r="F80" s="507"/>
      <c r="G80" s="507"/>
      <c r="H80" s="507"/>
      <c r="I80" s="508"/>
      <c r="J80" s="507"/>
      <c r="K80" s="507"/>
      <c r="L80" s="507"/>
      <c r="M80" s="507"/>
      <c r="N80" s="507"/>
      <c r="P80" s="510"/>
      <c r="R80" s="507"/>
      <c r="S80" s="507"/>
    </row>
    <row r="81" spans="1:19" s="509" customFormat="1" ht="12.75">
      <c r="A81" s="507"/>
      <c r="B81" s="507"/>
      <c r="C81" s="507"/>
      <c r="D81" s="507"/>
      <c r="E81" s="507"/>
      <c r="F81" s="507"/>
      <c r="G81" s="507"/>
      <c r="H81" s="507"/>
      <c r="I81" s="508"/>
      <c r="J81" s="507"/>
      <c r="K81" s="507"/>
      <c r="L81" s="507"/>
      <c r="M81" s="507"/>
      <c r="N81" s="507"/>
      <c r="P81" s="510"/>
      <c r="R81" s="507"/>
      <c r="S81" s="507"/>
    </row>
    <row r="82" spans="1:19" s="509" customFormat="1" ht="12.75">
      <c r="A82" s="507"/>
      <c r="B82" s="507"/>
      <c r="C82" s="507"/>
      <c r="D82" s="507"/>
      <c r="E82" s="507"/>
      <c r="F82" s="507"/>
      <c r="G82" s="507"/>
      <c r="H82" s="507"/>
      <c r="I82" s="508"/>
      <c r="J82" s="507"/>
      <c r="K82" s="507"/>
      <c r="L82" s="507"/>
      <c r="M82" s="507"/>
      <c r="N82" s="507"/>
      <c r="P82" s="510"/>
      <c r="R82" s="507"/>
      <c r="S82" s="507"/>
    </row>
  </sheetData>
  <sheetProtection password="C550" sheet="1"/>
  <mergeCells count="21">
    <mergeCell ref="P37:Q37"/>
    <mergeCell ref="E27:M27"/>
    <mergeCell ref="E28:M28"/>
    <mergeCell ref="E29:M29"/>
    <mergeCell ref="E30:M30"/>
    <mergeCell ref="J53:K53"/>
    <mergeCell ref="D6:F6"/>
    <mergeCell ref="E20:M20"/>
    <mergeCell ref="E21:M21"/>
    <mergeCell ref="E22:M22"/>
    <mergeCell ref="E25:M25"/>
    <mergeCell ref="A8:F8"/>
    <mergeCell ref="E31:M31"/>
    <mergeCell ref="E17:M17"/>
    <mergeCell ref="E23:M23"/>
    <mergeCell ref="A7:G7"/>
    <mergeCell ref="E24:M24"/>
    <mergeCell ref="E18:M18"/>
    <mergeCell ref="E26:M26"/>
    <mergeCell ref="K2:N2"/>
    <mergeCell ref="N6:R6"/>
  </mergeCells>
  <conditionalFormatting sqref="A51">
    <cfRule type="expression" priority="1" dxfId="3" stopIfTrue="1">
      <formula>M9=4</formula>
    </cfRule>
  </conditionalFormatting>
  <conditionalFormatting sqref="P37:Q37">
    <cfRule type="expression" priority="2" dxfId="3" stopIfTrue="1">
      <formula>M9=3</formula>
    </cfRule>
  </conditionalFormatting>
  <conditionalFormatting sqref="I53">
    <cfRule type="expression" priority="3" dxfId="2" stopIfTrue="1">
      <formula>ABS(I53/I56-1)-0.1&gt;0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6"/>
  <sheetViews>
    <sheetView showGridLines="0" zoomScalePageLayoutView="0" workbookViewId="0" topLeftCell="A1">
      <selection activeCell="S6" sqref="S6"/>
    </sheetView>
  </sheetViews>
  <sheetFormatPr defaultColWidth="9.140625" defaultRowHeight="12.75"/>
  <cols>
    <col min="1" max="1" width="12.7109375" style="0" customWidth="1"/>
    <col min="2" max="14" width="5.7109375" style="0" customWidth="1"/>
    <col min="15" max="15" width="7.7109375" style="0" customWidth="1"/>
    <col min="16" max="16" width="5.7109375" style="0" customWidth="1"/>
    <col min="17" max="17" width="8.7109375" style="0" customWidth="1"/>
    <col min="18" max="30" width="5.7109375" style="0" customWidth="1"/>
  </cols>
  <sheetData>
    <row r="1" spans="1:16" ht="13.5" thickBot="1">
      <c r="A1" s="61" t="s">
        <v>187</v>
      </c>
      <c r="B1" s="6"/>
      <c r="C1" s="2"/>
      <c r="D1" s="2"/>
      <c r="E1" s="2"/>
      <c r="F1" s="2"/>
      <c r="G1" s="2"/>
      <c r="H1" s="2"/>
      <c r="I1" s="2"/>
      <c r="J1" s="6"/>
      <c r="K1" s="6"/>
      <c r="L1" s="6"/>
      <c r="M1" s="6"/>
      <c r="N1" s="6"/>
      <c r="O1" s="6"/>
      <c r="P1" s="257"/>
    </row>
    <row r="2" spans="2:13" ht="12.75">
      <c r="B2" t="s">
        <v>51</v>
      </c>
      <c r="M2" s="64" t="s">
        <v>250</v>
      </c>
    </row>
    <row r="3" ht="13.5" thickBot="1">
      <c r="A3" s="136"/>
    </row>
    <row r="4" spans="1:15" ht="12.75">
      <c r="A4" s="137" t="s">
        <v>91</v>
      </c>
      <c r="B4" s="13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39"/>
    </row>
    <row r="5" spans="1:15" ht="12.75">
      <c r="A5" s="140" t="s">
        <v>186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41"/>
    </row>
    <row r="6" spans="1:15" ht="12.75">
      <c r="A6" s="142" t="s">
        <v>185</v>
      </c>
      <c r="B6" s="5"/>
      <c r="C6" s="5"/>
      <c r="D6" s="5" t="s">
        <v>190</v>
      </c>
      <c r="E6" s="5"/>
      <c r="F6" s="5"/>
      <c r="G6" s="5"/>
      <c r="H6" s="5"/>
      <c r="I6" s="5"/>
      <c r="J6" s="5"/>
      <c r="K6" s="5"/>
      <c r="L6" s="5"/>
      <c r="M6" s="5"/>
      <c r="N6" s="5"/>
      <c r="O6" s="141"/>
    </row>
    <row r="7" spans="1:15" ht="12.75">
      <c r="A7" s="256" t="s">
        <v>191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41"/>
    </row>
    <row r="8" spans="1:15" ht="12.75">
      <c r="A8" s="140" t="s">
        <v>172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1"/>
    </row>
    <row r="9" spans="1:15" ht="12.75">
      <c r="A9" s="140" t="s">
        <v>169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41"/>
    </row>
    <row r="10" spans="1:15" ht="12.75">
      <c r="A10" s="140" t="s">
        <v>168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41"/>
    </row>
    <row r="11" spans="1:15" ht="12.75">
      <c r="A11" s="140" t="s">
        <v>94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41"/>
    </row>
    <row r="12" spans="1:15" ht="12.75">
      <c r="A12" s="140" t="s">
        <v>95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41"/>
    </row>
    <row r="13" spans="1:15" ht="12.75">
      <c r="A13" s="140" t="s">
        <v>178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41"/>
    </row>
    <row r="14" spans="1:15" ht="12.75">
      <c r="A14" s="140" t="s">
        <v>179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41"/>
    </row>
    <row r="15" spans="1:15" ht="12.75">
      <c r="A15" s="140" t="s">
        <v>177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1"/>
    </row>
    <row r="16" spans="1:15" ht="12.75">
      <c r="A16" s="140" t="s">
        <v>92</v>
      </c>
      <c r="B16" s="5"/>
      <c r="C16" s="5"/>
      <c r="D16" s="5"/>
      <c r="E16" s="5"/>
      <c r="F16" s="5" t="s">
        <v>93</v>
      </c>
      <c r="G16" s="5"/>
      <c r="H16" s="5"/>
      <c r="I16" s="5"/>
      <c r="J16" s="5"/>
      <c r="K16" s="5"/>
      <c r="L16" s="5"/>
      <c r="M16" s="5"/>
      <c r="N16" s="5"/>
      <c r="O16" s="141"/>
    </row>
    <row r="17" spans="1:15" ht="12.75">
      <c r="A17" s="140" t="s">
        <v>183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41"/>
    </row>
    <row r="18" spans="1:15" ht="12.75">
      <c r="A18" s="140" t="s">
        <v>184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41"/>
    </row>
    <row r="19" spans="1:15" ht="12.75">
      <c r="A19" s="256" t="s">
        <v>274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41"/>
    </row>
    <row r="20" spans="1:15" ht="12.75">
      <c r="A20" s="140" t="s">
        <v>96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41"/>
    </row>
    <row r="21" spans="1:15" ht="12.75">
      <c r="A21" s="140" t="s">
        <v>97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41"/>
    </row>
    <row r="22" spans="1:15" ht="12.75">
      <c r="A22" s="140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1"/>
    </row>
    <row r="23" spans="1:15" ht="12.75">
      <c r="A23" s="140" t="s">
        <v>188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1"/>
    </row>
    <row r="24" spans="1:15" ht="12.75">
      <c r="A24" s="140" t="s">
        <v>118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41"/>
    </row>
    <row r="25" spans="1:15" ht="12.75">
      <c r="A25" s="140" t="s">
        <v>131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1"/>
    </row>
    <row r="26" spans="1:15" ht="12.75">
      <c r="A26" s="140" t="s">
        <v>132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1"/>
    </row>
    <row r="27" spans="1:15" ht="12.75">
      <c r="A27" s="140" t="s">
        <v>192</v>
      </c>
      <c r="B27" s="5"/>
      <c r="C27" s="5"/>
      <c r="D27" s="607"/>
      <c r="E27" s="608"/>
      <c r="F27" s="608"/>
      <c r="G27" s="608"/>
      <c r="H27" s="608"/>
      <c r="I27" s="608"/>
      <c r="J27" s="608"/>
      <c r="K27" s="608"/>
      <c r="L27" s="608"/>
      <c r="M27" s="608"/>
      <c r="N27" s="5"/>
      <c r="O27" s="141"/>
    </row>
    <row r="28" spans="1:15" ht="12.75">
      <c r="A28" s="140" t="s">
        <v>137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41"/>
    </row>
    <row r="29" spans="1:15" ht="12.75">
      <c r="A29" s="140" t="s">
        <v>138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41"/>
    </row>
    <row r="30" spans="1:15" ht="12.75">
      <c r="A30" s="256" t="s">
        <v>259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41"/>
    </row>
    <row r="31" spans="1:15" ht="12.75">
      <c r="A31" s="256" t="s">
        <v>239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41"/>
    </row>
    <row r="32" spans="1:15" ht="12.75">
      <c r="A32" s="140" t="s">
        <v>100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41"/>
    </row>
    <row r="33" spans="1:15" ht="12.75">
      <c r="A33" s="140" t="s">
        <v>170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41"/>
    </row>
    <row r="34" spans="1:15" ht="12.75">
      <c r="A34" s="140" t="s">
        <v>114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41"/>
    </row>
    <row r="35" spans="1:15" ht="12.75">
      <c r="A35" s="140" t="s">
        <v>171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41"/>
    </row>
    <row r="36" spans="1:15" ht="13.5" thickBot="1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5"/>
    </row>
  </sheetData>
  <sheetProtection password="C550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91"/>
  <sheetViews>
    <sheetView showGridLines="0" zoomScalePageLayoutView="0" workbookViewId="0" topLeftCell="A1">
      <selection activeCell="G36" sqref="G36:H36"/>
    </sheetView>
  </sheetViews>
  <sheetFormatPr defaultColWidth="9.140625" defaultRowHeight="12.75"/>
  <cols>
    <col min="1" max="1" width="5.7109375" style="0" customWidth="1"/>
    <col min="2" max="5" width="7.8515625" style="0" customWidth="1"/>
    <col min="6" max="6" width="8.7109375" style="0" customWidth="1"/>
    <col min="7" max="7" width="7.8515625" style="0" customWidth="1"/>
    <col min="8" max="8" width="8.7109375" style="0" customWidth="1"/>
    <col min="9" max="13" width="7.8515625" style="0" customWidth="1"/>
    <col min="14" max="14" width="3.8515625" style="0" customWidth="1"/>
    <col min="15" max="17" width="7.8515625" style="0" customWidth="1"/>
  </cols>
  <sheetData>
    <row r="1" spans="1:8" ht="13.5" thickBot="1">
      <c r="A1" s="61" t="s">
        <v>201</v>
      </c>
      <c r="B1" s="62"/>
      <c r="C1" s="62"/>
      <c r="D1" s="62"/>
      <c r="E1" s="62"/>
      <c r="F1" s="62"/>
      <c r="G1" s="62"/>
      <c r="H1" s="63"/>
    </row>
    <row r="2" ht="13.5" thickBot="1"/>
    <row r="3" spans="3:6" ht="16.5" thickBot="1">
      <c r="C3" s="220" t="s">
        <v>244</v>
      </c>
      <c r="D3" s="650" t="str">
        <f>Input!D6</f>
        <v>10812 F</v>
      </c>
      <c r="E3" s="651"/>
      <c r="F3" s="652"/>
    </row>
    <row r="5" spans="1:9" ht="12.75">
      <c r="A5" s="96" t="s">
        <v>61</v>
      </c>
      <c r="B5" s="8" t="s">
        <v>62</v>
      </c>
      <c r="C5" s="8"/>
      <c r="D5" s="8"/>
      <c r="E5" s="8"/>
      <c r="F5" s="8"/>
      <c r="G5" s="97"/>
      <c r="H5" s="97"/>
      <c r="I5" s="98"/>
    </row>
    <row r="6" spans="1:9" ht="12.75">
      <c r="A6" s="96"/>
      <c r="B6" s="8" t="s">
        <v>63</v>
      </c>
      <c r="C6" s="8"/>
      <c r="D6" s="8"/>
      <c r="E6" s="8"/>
      <c r="F6" s="8"/>
      <c r="G6" s="97"/>
      <c r="H6" s="97"/>
      <c r="I6" s="98"/>
    </row>
    <row r="7" spans="1:12" ht="12.75">
      <c r="A7" s="96"/>
      <c r="B7" s="8" t="s">
        <v>242</v>
      </c>
      <c r="C7" s="8"/>
      <c r="D7" s="8"/>
      <c r="E7" s="8"/>
      <c r="F7" s="8"/>
      <c r="G7" s="97"/>
      <c r="H7" s="97"/>
      <c r="I7" s="98"/>
      <c r="L7" s="200"/>
    </row>
    <row r="8" spans="1:9" ht="12.75">
      <c r="A8" s="96"/>
      <c r="B8" s="8" t="s">
        <v>241</v>
      </c>
      <c r="C8" s="8"/>
      <c r="D8" s="8"/>
      <c r="E8" s="8"/>
      <c r="F8" s="8"/>
      <c r="G8" s="97"/>
      <c r="H8" s="97"/>
      <c r="I8" s="98"/>
    </row>
    <row r="9" spans="1:9" ht="12.75">
      <c r="A9" s="96"/>
      <c r="B9" s="8" t="s">
        <v>243</v>
      </c>
      <c r="C9" s="8"/>
      <c r="D9" s="8"/>
      <c r="E9" s="8"/>
      <c r="F9" s="8"/>
      <c r="G9" s="97"/>
      <c r="H9" s="97"/>
      <c r="I9" s="98"/>
    </row>
    <row r="10" spans="1:9" ht="14.25" customHeight="1" thickBot="1">
      <c r="A10" s="67"/>
      <c r="G10" s="159"/>
      <c r="H10" s="11"/>
      <c r="I10" s="73"/>
    </row>
    <row r="11" spans="1:9" ht="14.25" customHeight="1" thickTop="1">
      <c r="A11" s="67"/>
      <c r="D11" s="658" t="s">
        <v>261</v>
      </c>
      <c r="E11" s="659"/>
      <c r="F11" s="660"/>
      <c r="G11" s="598"/>
      <c r="H11" s="11"/>
      <c r="I11" s="73"/>
    </row>
    <row r="12" spans="1:9" ht="14.25" customHeight="1" thickBot="1">
      <c r="A12" s="67"/>
      <c r="D12" s="599" t="s">
        <v>264</v>
      </c>
      <c r="E12" s="601">
        <f>0.01*Input!O16</f>
        <v>0.9500000000000001</v>
      </c>
      <c r="F12" s="600"/>
      <c r="G12" s="598"/>
      <c r="H12" s="11"/>
      <c r="I12" s="73"/>
    </row>
    <row r="13" spans="1:9" ht="14.25" customHeight="1" thickTop="1">
      <c r="A13" s="67"/>
      <c r="G13" s="159"/>
      <c r="H13" s="11"/>
      <c r="I13" s="73"/>
    </row>
    <row r="14" spans="1:9" ht="12.75">
      <c r="A14" s="69" t="s">
        <v>252</v>
      </c>
      <c r="G14" s="11"/>
      <c r="H14" s="11"/>
      <c r="I14" s="73"/>
    </row>
    <row r="15" spans="1:9" ht="12.75">
      <c r="A15" s="67"/>
      <c r="G15" s="11"/>
      <c r="H15" s="11"/>
      <c r="I15" s="73"/>
    </row>
    <row r="16" spans="1:9" ht="13.5" thickBot="1">
      <c r="A16" s="67"/>
      <c r="B16" t="s">
        <v>41</v>
      </c>
      <c r="C16" s="418"/>
      <c r="D16" s="418"/>
      <c r="G16" s="11"/>
      <c r="H16" s="11"/>
      <c r="I16" s="73"/>
    </row>
    <row r="17" spans="1:9" ht="13.5" thickBot="1">
      <c r="A17" s="217"/>
      <c r="B17" s="280" t="s">
        <v>200</v>
      </c>
      <c r="C17" s="209"/>
      <c r="D17" s="281" t="s">
        <v>24</v>
      </c>
      <c r="E17" s="1" t="s">
        <v>26</v>
      </c>
      <c r="F17" s="282" t="s">
        <v>32</v>
      </c>
      <c r="G17" s="661" t="s">
        <v>268</v>
      </c>
      <c r="H17" s="662"/>
      <c r="I17" s="73"/>
    </row>
    <row r="18" spans="1:9" ht="13.5" thickBot="1">
      <c r="A18" s="67"/>
      <c r="B18" s="414" t="s">
        <v>151</v>
      </c>
      <c r="C18" s="356" t="s">
        <v>104</v>
      </c>
      <c r="D18" s="283" t="s">
        <v>25</v>
      </c>
      <c r="E18" s="208" t="s">
        <v>27</v>
      </c>
      <c r="F18" s="284" t="s">
        <v>33</v>
      </c>
      <c r="G18" s="285" t="s">
        <v>28</v>
      </c>
      <c r="H18" s="286" t="s">
        <v>29</v>
      </c>
      <c r="I18" s="73"/>
    </row>
    <row r="19" spans="1:9" ht="12.75">
      <c r="A19" s="67"/>
      <c r="B19" s="413" t="str">
        <f>IF($B$16&lt;11.5,"","L")</f>
        <v>L</v>
      </c>
      <c r="C19" s="415">
        <f>IF($B$16&lt;11.5,"",12)</f>
        <v>12</v>
      </c>
      <c r="D19" s="274">
        <f>IF($C19&gt;$B$16,"",Means!D30)</f>
      </c>
      <c r="E19" s="275" t="str">
        <f>IF($C19&gt;$B$16,"",Means!E30)</f>
        <v> </v>
      </c>
      <c r="F19" s="276" t="str">
        <f>IF($C19&gt;$B$16,"",Means!F30)</f>
        <v> </v>
      </c>
      <c r="G19" s="274" t="str">
        <f>IF($C19&gt;$B$16,"",Means!G30)</f>
        <v> </v>
      </c>
      <c r="H19" s="274" t="str">
        <f>IF($C19&gt;$B$16,"",Means!H30)</f>
        <v> </v>
      </c>
      <c r="I19" s="73"/>
    </row>
    <row r="20" spans="1:9" ht="12.75">
      <c r="A20" s="67"/>
      <c r="B20" s="41" t="str">
        <f>IF($B$16&lt;10.5,"","K")</f>
        <v>K</v>
      </c>
      <c r="C20" s="416">
        <f>IF($B$16&lt;10.5,"",11)</f>
        <v>11</v>
      </c>
      <c r="D20" s="274">
        <f>IF($C20&gt;$B$16,"",Means!D31)</f>
      </c>
      <c r="E20" s="275" t="str">
        <f>IF($C20&gt;$B$16,"",Means!E31)</f>
        <v> </v>
      </c>
      <c r="F20" s="276" t="str">
        <f>IF($C20&gt;$B$16,"",Means!F31)</f>
        <v> </v>
      </c>
      <c r="G20" s="274" t="str">
        <f>IF($C20&gt;$B$16,"",Means!G31)</f>
        <v> </v>
      </c>
      <c r="H20" s="274" t="str">
        <f>IF($C20&gt;$B$16,"",Means!H31)</f>
        <v> </v>
      </c>
      <c r="I20" s="73"/>
    </row>
    <row r="21" spans="1:9" ht="12.75">
      <c r="A21" s="67"/>
      <c r="B21" s="41" t="str">
        <f>IF($B$16&lt;9.5,"","J")</f>
        <v>J</v>
      </c>
      <c r="C21" s="416">
        <f>IF($B$16&lt;9.5,"",10)</f>
        <v>10</v>
      </c>
      <c r="D21" s="274">
        <f>IF($C21&gt;$B$16,"",Means!D32)</f>
      </c>
      <c r="E21" s="275" t="str">
        <f>IF($C21&gt;$B$16,"",Means!E32)</f>
        <v> </v>
      </c>
      <c r="F21" s="276" t="str">
        <f>IF($C21&gt;$B$16,"",Means!F32)</f>
        <v> </v>
      </c>
      <c r="G21" s="274" t="str">
        <f>IF($C21&gt;$B$16,"",Means!G32)</f>
        <v> </v>
      </c>
      <c r="H21" s="274" t="str">
        <f>IF($C21&gt;$B$16,"",Means!H32)</f>
        <v> </v>
      </c>
      <c r="I21" s="73"/>
    </row>
    <row r="22" spans="1:9" ht="12.75">
      <c r="A22" s="67"/>
      <c r="B22" s="41" t="str">
        <f>IF($B$16&lt;8.5,"","I")</f>
        <v>I</v>
      </c>
      <c r="C22" s="416">
        <f>IF($B$16&lt;8.5,"",9)</f>
        <v>9</v>
      </c>
      <c r="D22" s="274">
        <f>IF($C22&gt;$B$16,"",Means!D33)</f>
      </c>
      <c r="E22" s="275" t="str">
        <f>IF($C22&gt;$B$16,"",Means!E33)</f>
        <v> </v>
      </c>
      <c r="F22" s="276" t="str">
        <f>IF($C22&gt;$B$16,"",Means!F33)</f>
        <v> </v>
      </c>
      <c r="G22" s="274" t="str">
        <f>IF($C22&gt;$B$16,"",Means!G33)</f>
        <v> </v>
      </c>
      <c r="H22" s="274" t="str">
        <f>IF($C22&gt;$B$16,"",Means!H33)</f>
        <v> </v>
      </c>
      <c r="I22" s="73"/>
    </row>
    <row r="23" spans="1:9" ht="12.75">
      <c r="A23" s="67"/>
      <c r="B23" s="41" t="str">
        <f>IF($B$16&lt;7.5,"","H")</f>
        <v>H</v>
      </c>
      <c r="C23" s="416">
        <f>IF($B$16&lt;7.5,"",8)</f>
        <v>8</v>
      </c>
      <c r="D23" s="274">
        <f>IF($C23&gt;$B$16,"",Means!D34)</f>
      </c>
      <c r="E23" s="275" t="str">
        <f>IF($C23&gt;$B$16,"",Means!E34)</f>
        <v> </v>
      </c>
      <c r="F23" s="276">
        <f>IF($C23&gt;$B$16,"",Means!F34)</f>
        <v>0</v>
      </c>
      <c r="G23" s="274" t="str">
        <f>IF($C23&gt;$B$16,"",Means!G34)</f>
        <v> </v>
      </c>
      <c r="H23" s="274" t="str">
        <f>IF($C23&gt;$B$16,"",Means!H34)</f>
        <v> </v>
      </c>
      <c r="I23" s="73"/>
    </row>
    <row r="24" spans="1:9" ht="12.75">
      <c r="A24" s="67"/>
      <c r="B24" s="41" t="str">
        <f>IF($B$16&lt;6.5,"","G")</f>
        <v>G</v>
      </c>
      <c r="C24" s="416">
        <f>IF($B$16&lt;6.5,"",7)</f>
        <v>7</v>
      </c>
      <c r="D24" s="274">
        <f>IF($C24&gt;$B$16,"",Means!D35)</f>
      </c>
      <c r="E24" s="275" t="str">
        <f>IF($C24&gt;$B$16,"",Means!E35)</f>
        <v> </v>
      </c>
      <c r="F24" s="276">
        <f>IF($C24&gt;$B$16,"",Means!F35)</f>
        <v>0</v>
      </c>
      <c r="G24" s="274" t="str">
        <f>IF($C24&gt;$B$16,"",Means!G35)</f>
        <v> </v>
      </c>
      <c r="H24" s="274" t="str">
        <f>IF($C24&gt;$B$16,"",Means!H35)</f>
        <v> </v>
      </c>
      <c r="I24" s="73"/>
    </row>
    <row r="25" spans="1:9" ht="12.75">
      <c r="A25" s="67"/>
      <c r="B25" s="41" t="str">
        <f>IF($B$16&lt;5.5,"","F")</f>
        <v>F</v>
      </c>
      <c r="C25" s="416">
        <f>IF($B$16&lt;5.5,"",6)</f>
        <v>6</v>
      </c>
      <c r="D25" s="274">
        <f>IF($C25&gt;$B$16,"",Means!D36)</f>
      </c>
      <c r="E25" s="275" t="str">
        <f>IF($C25&gt;$B$16,"",Means!E36)</f>
        <v> </v>
      </c>
      <c r="F25" s="276">
        <f>IF($C25&gt;$B$16,"",Means!F36)</f>
        <v>0</v>
      </c>
      <c r="G25" s="274" t="str">
        <f>IF($C25&gt;$B$16,"",Means!G36)</f>
        <v> </v>
      </c>
      <c r="H25" s="274" t="str">
        <f>IF($C25&gt;$B$16,"",Means!H36)</f>
        <v> </v>
      </c>
      <c r="I25" s="73"/>
    </row>
    <row r="26" spans="1:9" ht="12.75">
      <c r="A26" s="67"/>
      <c r="B26" s="41" t="str">
        <f>IF($B$16&lt;4.5,"","E")</f>
        <v>E</v>
      </c>
      <c r="C26" s="416">
        <f>IF($B$16&lt;4.5,"",5)</f>
        <v>5</v>
      </c>
      <c r="D26" s="274">
        <f>IF($C26&gt;$B$16,"",Means!D37)</f>
      </c>
      <c r="E26" s="275" t="str">
        <f>IF($C26&gt;$B$16,"",Means!E37)</f>
        <v> </v>
      </c>
      <c r="F26" s="276">
        <f>IF($C26&gt;$B$16,"",Means!F37)</f>
        <v>0</v>
      </c>
      <c r="G26" s="274" t="str">
        <f>IF($C26&gt;$B$16,"",Means!G37)</f>
        <v> </v>
      </c>
      <c r="H26" s="274" t="str">
        <f>IF($C26&gt;$B$16,"",Means!H37)</f>
        <v> </v>
      </c>
      <c r="I26" s="73"/>
    </row>
    <row r="27" spans="1:9" ht="12.75">
      <c r="A27" s="67"/>
      <c r="B27" s="41" t="str">
        <f>IF($B$16&lt;3.5,"","D")</f>
        <v>D</v>
      </c>
      <c r="C27" s="416">
        <f>IF($B$16&lt;3.5,"",4)</f>
        <v>4</v>
      </c>
      <c r="D27" s="274">
        <f>IF($C27&gt;$B$16,"",Means!D38)</f>
      </c>
      <c r="E27" s="275" t="str">
        <f>IF($C27&gt;$B$16,"",Means!E38)</f>
        <v> </v>
      </c>
      <c r="F27" s="276">
        <f>IF($C27&gt;$B$16,"",Means!F38)</f>
        <v>0</v>
      </c>
      <c r="G27" s="274" t="str">
        <f>IF($C27&gt;$B$16,"",Means!G38)</f>
        <v> </v>
      </c>
      <c r="H27" s="274" t="str">
        <f>IF($C27&gt;$B$16,"",Means!H38)</f>
        <v> </v>
      </c>
      <c r="I27" s="73"/>
    </row>
    <row r="28" spans="1:9" ht="12.75">
      <c r="A28" s="67"/>
      <c r="B28" s="41" t="str">
        <f>IF($B$16&lt;2.5,"","C")</f>
        <v>C</v>
      </c>
      <c r="C28" s="416">
        <f>IF($B$16&lt;2.5,"",3)</f>
        <v>3</v>
      </c>
      <c r="D28" s="274">
        <f>IF($C28&gt;$B$16,"",Means!D39)</f>
      </c>
      <c r="E28" s="275" t="str">
        <f>IF($C28&gt;$B$16,"",Means!E39)</f>
        <v> </v>
      </c>
      <c r="F28" s="276">
        <f>IF($C28&gt;$B$16,"",Means!F39)</f>
        <v>0</v>
      </c>
      <c r="G28" s="274" t="str">
        <f>IF($C28&gt;$B$16,"",Means!G39)</f>
        <v> </v>
      </c>
      <c r="H28" s="274" t="str">
        <f>IF($C28&gt;$B$16,"",Means!H39)</f>
        <v> </v>
      </c>
      <c r="I28" s="73"/>
    </row>
    <row r="29" spans="1:9" ht="12.75">
      <c r="A29" s="67"/>
      <c r="B29" s="41" t="s">
        <v>141</v>
      </c>
      <c r="C29" s="416">
        <v>2</v>
      </c>
      <c r="D29" s="274">
        <f>IF($C29&gt;$B$16,"",Means!D40)</f>
      </c>
      <c r="E29" s="275" t="str">
        <f>IF($C29&gt;$B$16,"",Means!E40)</f>
        <v> </v>
      </c>
      <c r="F29" s="276">
        <f>IF($C29&gt;$B$16,"",Means!F40)</f>
        <v>0</v>
      </c>
      <c r="G29" s="274" t="str">
        <f>IF($C29&gt;$B$16,"",Means!G40)</f>
        <v> </v>
      </c>
      <c r="H29" s="274" t="str">
        <f>IF($C29&gt;$B$16,"",Means!H40)</f>
        <v> </v>
      </c>
      <c r="I29" s="73"/>
    </row>
    <row r="30" spans="1:9" ht="13.5" thickBot="1">
      <c r="A30" s="67"/>
      <c r="B30" s="40" t="s">
        <v>140</v>
      </c>
      <c r="C30" s="417">
        <v>1</v>
      </c>
      <c r="D30" s="274">
        <f>IF($C30&gt;$B$16,"",Means!D41)</f>
      </c>
      <c r="E30" s="275">
        <f>IF($C30&gt;$B$16,"",Means!E41)</f>
      </c>
      <c r="F30" s="276">
        <f>IF($C30&gt;$B$16,"",Means!F41)</f>
        <v>0</v>
      </c>
      <c r="G30" s="274" t="str">
        <f>IF($C30&gt;$B$16,"",Means!G41)</f>
        <v> </v>
      </c>
      <c r="H30" s="274" t="str">
        <f>IF($C30&gt;$B$16,"",Means!H41)</f>
        <v> </v>
      </c>
      <c r="I30" s="73"/>
    </row>
    <row r="31" spans="1:9" ht="13.5" thickBot="1">
      <c r="A31" s="67"/>
      <c r="B31" s="210"/>
      <c r="C31" s="209" t="s">
        <v>34</v>
      </c>
      <c r="D31" s="277" t="str">
        <f>Means!D42</f>
        <v> </v>
      </c>
      <c r="E31" s="278" t="e">
        <f>Means!E42</f>
        <v>#VALUE!</v>
      </c>
      <c r="F31" s="279">
        <f>Means!F42</f>
        <v>0</v>
      </c>
      <c r="G31" s="277" t="str">
        <f>Means!G42</f>
        <v> </v>
      </c>
      <c r="H31" s="277" t="str">
        <f>Means!H42</f>
        <v> </v>
      </c>
      <c r="I31" s="73"/>
    </row>
    <row r="32" spans="1:9" ht="12.75">
      <c r="A32" s="67"/>
      <c r="G32" s="11"/>
      <c r="H32" s="11"/>
      <c r="I32" s="73"/>
    </row>
    <row r="33" spans="1:9" ht="13.5" thickBot="1">
      <c r="A33" s="67"/>
      <c r="B33" s="54" t="s">
        <v>47</v>
      </c>
      <c r="C33" s="50"/>
      <c r="D33" s="51"/>
      <c r="E33" s="52"/>
      <c r="F33" s="50"/>
      <c r="G33" s="50"/>
      <c r="H33" s="11"/>
      <c r="I33" s="73"/>
    </row>
    <row r="34" spans="1:9" ht="12.75">
      <c r="A34" s="67"/>
      <c r="B34" s="619">
        <f>IF(Input!F12&lt;7,"HOWEVER:   Linear scale transformation is not recommended","")</f>
      </c>
      <c r="C34" s="653"/>
      <c r="D34" s="653"/>
      <c r="E34" s="653"/>
      <c r="F34" s="653"/>
      <c r="G34" s="653"/>
      <c r="H34" s="653"/>
      <c r="I34" s="73"/>
    </row>
    <row r="35" spans="1:9" ht="13.5" thickBot="1">
      <c r="A35" s="67"/>
      <c r="B35" s="619">
        <f>IF(Input!F12&lt;7,"                     in case of scales with &lt; 7 possible ratings !","")</f>
      </c>
      <c r="C35" s="654"/>
      <c r="D35" s="654"/>
      <c r="E35" s="654"/>
      <c r="F35" s="654"/>
      <c r="G35" s="654"/>
      <c r="H35" s="654"/>
      <c r="I35" s="73"/>
    </row>
    <row r="36" spans="1:9" ht="13.5" thickBot="1">
      <c r="A36" s="67"/>
      <c r="B36" s="280" t="s">
        <v>200</v>
      </c>
      <c r="C36" s="209"/>
      <c r="D36" s="281" t="s">
        <v>24</v>
      </c>
      <c r="E36" s="1" t="s">
        <v>26</v>
      </c>
      <c r="F36" s="282" t="s">
        <v>32</v>
      </c>
      <c r="G36" s="661" t="s">
        <v>268</v>
      </c>
      <c r="H36" s="662"/>
      <c r="I36" s="73"/>
    </row>
    <row r="37" spans="1:9" ht="13.5" thickBot="1">
      <c r="A37" s="67"/>
      <c r="B37" s="414" t="s">
        <v>151</v>
      </c>
      <c r="C37" s="356" t="s">
        <v>104</v>
      </c>
      <c r="D37" s="283" t="s">
        <v>25</v>
      </c>
      <c r="E37" s="208" t="s">
        <v>27</v>
      </c>
      <c r="F37" s="284" t="s">
        <v>33</v>
      </c>
      <c r="G37" s="285" t="s">
        <v>28</v>
      </c>
      <c r="H37" s="286" t="s">
        <v>29</v>
      </c>
      <c r="I37" s="73"/>
    </row>
    <row r="38" spans="1:9" ht="12.75">
      <c r="A38" s="67"/>
      <c r="B38" s="413" t="str">
        <f>IF($B$16&lt;11.5,"","L")</f>
        <v>L</v>
      </c>
      <c r="C38" s="415">
        <f>IF($B$16&lt;11.5,"",12)</f>
        <v>12</v>
      </c>
      <c r="D38" s="274">
        <f>IF($C38&gt;$B$16,"",Means!C48)</f>
      </c>
      <c r="E38" s="275" t="str">
        <f>IF($C38&gt;$B$16,"",Means!D48)</f>
        <v> </v>
      </c>
      <c r="F38" s="276" t="str">
        <f>IF($C38&gt;$B$16,"",Means!E48)</f>
        <v> </v>
      </c>
      <c r="G38" s="274" t="str">
        <f>IF($C38&gt;$B$16,"",Means!F48)</f>
        <v> </v>
      </c>
      <c r="H38" s="572" t="str">
        <f>IF($C38&gt;$B$16,"",Means!G48)</f>
        <v> </v>
      </c>
      <c r="I38" s="73"/>
    </row>
    <row r="39" spans="1:9" ht="12.75">
      <c r="A39" s="67"/>
      <c r="B39" s="41" t="str">
        <f>IF($B$16&lt;10.5,"","K")</f>
        <v>K</v>
      </c>
      <c r="C39" s="416">
        <f>IF($B$16&lt;10.5,"",11)</f>
        <v>11</v>
      </c>
      <c r="D39" s="274">
        <f>IF($C39&gt;$B$16,"",Means!C49)</f>
      </c>
      <c r="E39" s="275" t="str">
        <f>IF($C39&gt;$B$16,"",Means!D49)</f>
        <v> </v>
      </c>
      <c r="F39" s="276" t="str">
        <f>IF($C39&gt;$B$16,"",Means!E49)</f>
        <v> </v>
      </c>
      <c r="G39" s="274" t="str">
        <f>IF($C39&gt;$B$16,"",Means!F49)</f>
        <v> </v>
      </c>
      <c r="H39" s="572" t="str">
        <f>IF($C39&gt;$B$16,"",Means!G49)</f>
        <v> </v>
      </c>
      <c r="I39" s="73"/>
    </row>
    <row r="40" spans="1:9" ht="12.75">
      <c r="A40" s="67"/>
      <c r="B40" s="41" t="str">
        <f>IF($B$16&lt;9.5,"","J")</f>
        <v>J</v>
      </c>
      <c r="C40" s="416">
        <f>IF($B$16&lt;9.5,"",10)</f>
        <v>10</v>
      </c>
      <c r="D40" s="274">
        <f>IF($C40&gt;$B$16,"",Means!C50)</f>
      </c>
      <c r="E40" s="275" t="str">
        <f>IF($C40&gt;$B$16,"",Means!D50)</f>
        <v> </v>
      </c>
      <c r="F40" s="276" t="str">
        <f>IF($C40&gt;$B$16,"",Means!E50)</f>
        <v> </v>
      </c>
      <c r="G40" s="274" t="str">
        <f>IF($C40&gt;$B$16,"",Means!F50)</f>
        <v> </v>
      </c>
      <c r="H40" s="572" t="str">
        <f>IF($C40&gt;$B$16,"",Means!G50)</f>
        <v> </v>
      </c>
      <c r="I40" s="73"/>
    </row>
    <row r="41" spans="1:9" ht="12.75">
      <c r="A41" s="67"/>
      <c r="B41" s="41" t="str">
        <f>IF($B$16&lt;8.5,"","I")</f>
        <v>I</v>
      </c>
      <c r="C41" s="416">
        <f>IF($B$16&lt;8.5,"",9)</f>
        <v>9</v>
      </c>
      <c r="D41" s="274">
        <f>IF($C41&gt;$B$16,"",Means!C51)</f>
      </c>
      <c r="E41" s="275" t="str">
        <f>IF($C41&gt;$B$16,"",Means!D51)</f>
        <v> </v>
      </c>
      <c r="F41" s="276" t="str">
        <f>IF($C41&gt;$B$16,"",Means!E51)</f>
        <v> </v>
      </c>
      <c r="G41" s="274" t="str">
        <f>IF($C41&gt;$B$16,"",Means!F51)</f>
        <v> </v>
      </c>
      <c r="H41" s="572" t="str">
        <f>IF($C41&gt;$B$16,"",Means!G51)</f>
        <v> </v>
      </c>
      <c r="I41" s="73"/>
    </row>
    <row r="42" spans="1:9" ht="12.75">
      <c r="A42" s="67"/>
      <c r="B42" s="41" t="str">
        <f>IF($B$16&lt;7.5,"","H")</f>
        <v>H</v>
      </c>
      <c r="C42" s="416">
        <f>IF($B$16&lt;7.5,"",8)</f>
        <v>8</v>
      </c>
      <c r="D42" s="274">
        <f>IF($C42&gt;$B$16,"",Means!C52)</f>
      </c>
      <c r="E42" s="275" t="str">
        <f>IF($C42&gt;$B$16,"",Means!D52)</f>
        <v> </v>
      </c>
      <c r="F42" s="276">
        <f>IF($C42&gt;$B$16,"",Means!E52)</f>
        <v>0</v>
      </c>
      <c r="G42" s="274" t="str">
        <f>IF($C42&gt;$B$16,"",Means!F52)</f>
        <v> </v>
      </c>
      <c r="H42" s="572" t="str">
        <f>IF($C42&gt;$B$16,"",Means!G52)</f>
        <v> </v>
      </c>
      <c r="I42" s="73"/>
    </row>
    <row r="43" spans="1:9" ht="12.75">
      <c r="A43" s="67"/>
      <c r="B43" s="41" t="str">
        <f>IF($B$16&lt;6.5,"","G")</f>
        <v>G</v>
      </c>
      <c r="C43" s="416">
        <f>IF($B$16&lt;6.5,"",7)</f>
        <v>7</v>
      </c>
      <c r="D43" s="274">
        <f>IF($C43&gt;$B$16,"",Means!C53)</f>
      </c>
      <c r="E43" s="275" t="str">
        <f>IF($C43&gt;$B$16,"",Means!D53)</f>
        <v> </v>
      </c>
      <c r="F43" s="276">
        <f>IF($C43&gt;$B$16,"",Means!E53)</f>
        <v>0</v>
      </c>
      <c r="G43" s="274" t="str">
        <f>IF($C43&gt;$B$16,"",Means!F53)</f>
        <v> </v>
      </c>
      <c r="H43" s="572" t="str">
        <f>IF($C43&gt;$B$16,"",Means!G53)</f>
        <v> </v>
      </c>
      <c r="I43" s="73"/>
    </row>
    <row r="44" spans="1:9" ht="12.75">
      <c r="A44" s="67"/>
      <c r="B44" s="41" t="str">
        <f>IF($B$16&lt;5.5,"","F")</f>
        <v>F</v>
      </c>
      <c r="C44" s="416">
        <f>IF($B$16&lt;5.5,"",6)</f>
        <v>6</v>
      </c>
      <c r="D44" s="274">
        <f>IF($C44&gt;$B$16,"",Means!C54)</f>
      </c>
      <c r="E44" s="275" t="str">
        <f>IF($C44&gt;$B$16,"",Means!D54)</f>
        <v> </v>
      </c>
      <c r="F44" s="276">
        <f>IF($C44&gt;$B$16,"",Means!E54)</f>
        <v>0</v>
      </c>
      <c r="G44" s="274" t="str">
        <f>IF($C44&gt;$B$16,"",Means!F54)</f>
        <v> </v>
      </c>
      <c r="H44" s="572" t="str">
        <f>IF($C44&gt;$B$16,"",Means!G54)</f>
        <v> </v>
      </c>
      <c r="I44" s="73"/>
    </row>
    <row r="45" spans="1:9" ht="12.75">
      <c r="A45" s="67"/>
      <c r="B45" s="41" t="str">
        <f>IF($B$16&lt;4.5,"","E")</f>
        <v>E</v>
      </c>
      <c r="C45" s="416">
        <f>IF($B$16&lt;4.5,"",5)</f>
        <v>5</v>
      </c>
      <c r="D45" s="274">
        <f>IF($C45&gt;$B$16,"",Means!C55)</f>
      </c>
      <c r="E45" s="275" t="str">
        <f>IF($C45&gt;$B$16,"",Means!D55)</f>
        <v> </v>
      </c>
      <c r="F45" s="276">
        <f>IF($C45&gt;$B$16,"",Means!E55)</f>
        <v>0</v>
      </c>
      <c r="G45" s="274" t="str">
        <f>IF($C45&gt;$B$16,"",Means!F55)</f>
        <v> </v>
      </c>
      <c r="H45" s="572" t="str">
        <f>IF($C45&gt;$B$16,"",Means!G55)</f>
        <v> </v>
      </c>
      <c r="I45" s="73"/>
    </row>
    <row r="46" spans="1:9" ht="12.75">
      <c r="A46" s="67"/>
      <c r="B46" s="41" t="str">
        <f>IF($B$16&lt;3.5,"","D")</f>
        <v>D</v>
      </c>
      <c r="C46" s="416">
        <f>IF($B$16&lt;3.5,"",4)</f>
        <v>4</v>
      </c>
      <c r="D46" s="274">
        <f>IF($C46&gt;$B$16,"",Means!C56)</f>
      </c>
      <c r="E46" s="275" t="str">
        <f>IF($C46&gt;$B$16,"",Means!D56)</f>
        <v> </v>
      </c>
      <c r="F46" s="276">
        <f>IF($C46&gt;$B$16,"",Means!E56)</f>
        <v>0</v>
      </c>
      <c r="G46" s="274" t="str">
        <f>IF($C46&gt;$B$16,"",Means!F56)</f>
        <v> </v>
      </c>
      <c r="H46" s="572" t="str">
        <f>IF($C46&gt;$B$16,"",Means!G56)</f>
        <v> </v>
      </c>
      <c r="I46" s="73"/>
    </row>
    <row r="47" spans="1:9" ht="12.75">
      <c r="A47" s="67"/>
      <c r="B47" s="41" t="str">
        <f>IF($B$16&lt;2.5,"","C")</f>
        <v>C</v>
      </c>
      <c r="C47" s="416">
        <f>IF($B$16&lt;2.5,"",3)</f>
        <v>3</v>
      </c>
      <c r="D47" s="274">
        <f>IF($C47&gt;$B$16,"",Means!C57)</f>
      </c>
      <c r="E47" s="275" t="str">
        <f>IF($C47&gt;$B$16,"",Means!D57)</f>
        <v> </v>
      </c>
      <c r="F47" s="276">
        <f>IF($C47&gt;$B$16,"",Means!E57)</f>
        <v>0</v>
      </c>
      <c r="G47" s="274" t="str">
        <f>IF($C47&gt;$B$16,"",Means!F57)</f>
        <v> </v>
      </c>
      <c r="H47" s="572" t="str">
        <f>IF($C47&gt;$B$16,"",Means!G57)</f>
        <v> </v>
      </c>
      <c r="I47" s="73"/>
    </row>
    <row r="48" spans="1:9" ht="12.75">
      <c r="A48" s="67"/>
      <c r="B48" s="41" t="s">
        <v>141</v>
      </c>
      <c r="C48" s="41">
        <v>2</v>
      </c>
      <c r="D48" s="274">
        <f>IF($C48&gt;$B$16,"",Means!C58)</f>
      </c>
      <c r="E48" s="275" t="str">
        <f>IF($C48&gt;$B$16,"",Means!D58)</f>
        <v> </v>
      </c>
      <c r="F48" s="276">
        <f>IF($C48&gt;$B$16,"",Means!E58)</f>
        <v>0</v>
      </c>
      <c r="G48" s="274" t="str">
        <f>IF($C48&gt;$B$16,"",Means!F58)</f>
        <v> </v>
      </c>
      <c r="H48" s="572" t="str">
        <f>IF($C48&gt;$B$16,"",Means!G58)</f>
        <v> </v>
      </c>
      <c r="I48" s="73"/>
    </row>
    <row r="49" spans="1:9" ht="13.5" thickBot="1">
      <c r="A49" s="67"/>
      <c r="B49" s="40" t="s">
        <v>140</v>
      </c>
      <c r="C49" s="414">
        <v>1</v>
      </c>
      <c r="D49" s="547">
        <f>IF($C49&gt;$B$16,"",Means!C59)</f>
      </c>
      <c r="E49" s="548" t="str">
        <f>IF($C49&gt;$B$16,"",Means!D59)</f>
        <v> </v>
      </c>
      <c r="F49" s="549">
        <f>IF($C49&gt;$B$16,"",Means!E59)</f>
        <v>0</v>
      </c>
      <c r="G49" s="547" t="str">
        <f>IF($C49&gt;$B$16,"",Means!F59)</f>
        <v> </v>
      </c>
      <c r="H49" s="573" t="str">
        <f>IF($C49&gt;$B$16,"",Means!G59)</f>
        <v> </v>
      </c>
      <c r="I49" s="73"/>
    </row>
    <row r="50" spans="1:9" ht="13.5" thickBot="1">
      <c r="A50" s="67"/>
      <c r="B50" s="210"/>
      <c r="C50" s="209" t="s">
        <v>34</v>
      </c>
      <c r="D50" s="277" t="e">
        <f>Means!C60</f>
        <v>#VALUE!</v>
      </c>
      <c r="E50" s="278" t="e">
        <f>Means!D60</f>
        <v>#VALUE!</v>
      </c>
      <c r="F50" s="279">
        <f>Means!E60</f>
        <v>0</v>
      </c>
      <c r="G50" s="277" t="str">
        <f>Means!F60</f>
        <v> </v>
      </c>
      <c r="H50" s="574" t="str">
        <f>Means!G60</f>
        <v> </v>
      </c>
      <c r="I50" s="73"/>
    </row>
    <row r="51" spans="1:9" ht="12.75">
      <c r="A51" s="67"/>
      <c r="B51" s="56"/>
      <c r="C51" s="57"/>
      <c r="D51" s="58"/>
      <c r="E51" s="59"/>
      <c r="F51" s="57"/>
      <c r="G51" s="57"/>
      <c r="H51" s="101"/>
      <c r="I51" s="73"/>
    </row>
    <row r="52" spans="1:12" ht="12.75">
      <c r="A52" s="53"/>
      <c r="B52" s="114" t="s">
        <v>75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53"/>
      <c r="B53" s="115" t="s">
        <v>76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0" ht="12.75">
      <c r="A54" s="53"/>
      <c r="B54" t="s">
        <v>72</v>
      </c>
      <c r="D54" s="159" t="s">
        <v>67</v>
      </c>
      <c r="F54" s="159" t="s">
        <v>68</v>
      </c>
      <c r="G54" s="11"/>
      <c r="H54" s="159" t="s">
        <v>73</v>
      </c>
      <c r="J54" s="159" t="s">
        <v>240</v>
      </c>
    </row>
    <row r="55" spans="1:6" ht="12.75">
      <c r="A55" s="53"/>
      <c r="B55" s="115" t="s">
        <v>76</v>
      </c>
      <c r="F55" s="159"/>
    </row>
    <row r="56" spans="1:11" ht="12.75">
      <c r="A56" s="53"/>
      <c r="B56" t="s">
        <v>69</v>
      </c>
      <c r="D56" s="89">
        <f>MulComp!E7</f>
      </c>
      <c r="E56" s="89"/>
      <c r="F56" s="89" t="e">
        <f>MulComp!G7</f>
        <v>#VALUE!</v>
      </c>
      <c r="G56" s="89"/>
      <c r="H56" s="411" t="e">
        <f>MulComp!I7</f>
        <v>#VALUE!</v>
      </c>
      <c r="I56" s="89"/>
      <c r="J56" s="412" t="str">
        <f>MulComp!K7</f>
        <v>INPUT ERROR!!</v>
      </c>
      <c r="K56" s="89"/>
    </row>
    <row r="57" spans="1:11" ht="13.5" thickBot="1">
      <c r="A57" s="53"/>
      <c r="B57" t="s">
        <v>70</v>
      </c>
      <c r="D57" s="89">
        <f>MulComp!E8</f>
        <v>0</v>
      </c>
      <c r="E57" s="89"/>
      <c r="F57" s="89">
        <f>MulComp!G8</f>
      </c>
      <c r="G57" s="89"/>
      <c r="H57" s="412" t="e">
        <f>MulComp!I8</f>
        <v>#VALUE!</v>
      </c>
      <c r="I57" s="89"/>
      <c r="J57" s="89"/>
      <c r="K57" s="89"/>
    </row>
    <row r="58" spans="1:10" ht="13.5" thickBot="1">
      <c r="A58" s="53"/>
      <c r="B58" s="116" t="s">
        <v>77</v>
      </c>
      <c r="D58" s="89"/>
      <c r="E58" s="89"/>
      <c r="F58" s="89"/>
      <c r="J58" s="117" t="s">
        <v>79</v>
      </c>
    </row>
    <row r="59" spans="1:10" ht="12.75">
      <c r="A59" s="53"/>
      <c r="B59" t="s">
        <v>71</v>
      </c>
      <c r="D59" s="89" t="e">
        <f>MulComp!E10</f>
        <v>#VALUE!</v>
      </c>
      <c r="E59" s="89"/>
      <c r="F59" s="89">
        <f>MulComp!G10</f>
        <v>-1</v>
      </c>
      <c r="J59" s="263" t="e">
        <f>IF(FDIST($J$56,$F$56,$F$57)&lt;0.001,"",FDIST(J$56,F$56,F$57))</f>
        <v>#VALUE!</v>
      </c>
    </row>
    <row r="60" spans="1:10" ht="14.25" customHeight="1" thickBot="1">
      <c r="A60" s="53"/>
      <c r="B60" s="116" t="s">
        <v>78</v>
      </c>
      <c r="J60" s="264" t="e">
        <f>IF(FDIST(J$56,F$56,F$57)&lt;0.001,"&lt; 0,001","  ")</f>
        <v>#VALUE!</v>
      </c>
    </row>
    <row r="61" spans="1:4" ht="12.75">
      <c r="A61" s="53"/>
      <c r="B61" t="s">
        <v>90</v>
      </c>
      <c r="D61" s="26" t="e">
        <f>SQRT(H57)</f>
        <v>#VALUE!</v>
      </c>
    </row>
    <row r="62" ht="14.25" customHeight="1"/>
    <row r="63" ht="14.25" customHeight="1">
      <c r="B63" s="419" t="e">
        <f>IF(FDIST($J$56,$F$56,$F$57)&gt;0.1,"No significant happiness differences between the correlate levels have been detected at the 10 % level.","")</f>
        <v>#VALUE!</v>
      </c>
    </row>
    <row r="64" ht="14.25" customHeight="1"/>
    <row r="65" spans="1:3" ht="12.75">
      <c r="A65" s="118"/>
      <c r="B65" s="53"/>
      <c r="C65" s="120" t="s">
        <v>119</v>
      </c>
    </row>
    <row r="66" spans="1:6" ht="12.75">
      <c r="A66" s="118"/>
      <c r="B66" s="53"/>
      <c r="F66" s="575"/>
    </row>
    <row r="67" spans="2:13" ht="12.75">
      <c r="B67" s="8" t="s">
        <v>173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90"/>
    </row>
    <row r="68" spans="2:13" ht="12.75">
      <c r="B68" s="8" t="s">
        <v>258</v>
      </c>
      <c r="C68" s="8"/>
      <c r="D68" s="8"/>
      <c r="E68" s="8"/>
      <c r="F68" s="8"/>
      <c r="G68" s="122" t="s">
        <v>82</v>
      </c>
      <c r="H68" s="8"/>
      <c r="I68" s="8"/>
      <c r="J68" s="8"/>
      <c r="K68" s="8"/>
      <c r="L68" s="8" t="s">
        <v>81</v>
      </c>
      <c r="M68" s="90"/>
    </row>
    <row r="69" spans="2:13" ht="12.75">
      <c r="B69" s="8" t="s">
        <v>87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90"/>
    </row>
    <row r="70" spans="2:13" ht="12.75">
      <c r="B70" s="8"/>
      <c r="C70" s="8"/>
      <c r="D70" s="8"/>
      <c r="E70" s="8"/>
      <c r="F70" s="8"/>
      <c r="G70" s="602" t="s">
        <v>266</v>
      </c>
      <c r="H70" s="602"/>
      <c r="I70" s="602"/>
      <c r="J70" s="603">
        <f>E12</f>
        <v>0.9500000000000001</v>
      </c>
      <c r="K70" s="8"/>
      <c r="L70" s="8"/>
      <c r="M70" s="90"/>
    </row>
    <row r="71" spans="1:17" ht="13.5" thickBot="1">
      <c r="A71" s="304"/>
      <c r="B71" s="221">
        <f>MulComp!B22</f>
        <v>12</v>
      </c>
      <c r="C71" s="221">
        <f>MulComp!C22</f>
        <v>11</v>
      </c>
      <c r="D71" s="221">
        <f>MulComp!D22</f>
        <v>10</v>
      </c>
      <c r="E71" s="221">
        <f>MulComp!E22</f>
        <v>9</v>
      </c>
      <c r="F71" s="221">
        <f>MulComp!F22</f>
        <v>8</v>
      </c>
      <c r="G71" s="221">
        <f>MulComp!G22</f>
        <v>7</v>
      </c>
      <c r="H71" s="221">
        <f>MulComp!H22</f>
        <v>6</v>
      </c>
      <c r="I71" s="221">
        <f>MulComp!I22</f>
        <v>5</v>
      </c>
      <c r="J71" s="221">
        <f>MulComp!J22</f>
        <v>4</v>
      </c>
      <c r="K71" s="221">
        <f>MulComp!K22</f>
        <v>3</v>
      </c>
      <c r="L71" s="221">
        <f>MulComp!L22</f>
        <v>2</v>
      </c>
      <c r="M71" s="221">
        <f>MulComp!M22</f>
        <v>1</v>
      </c>
      <c r="N71" s="67"/>
      <c r="O71" s="67"/>
      <c r="P71" s="67"/>
      <c r="Q71" s="67"/>
    </row>
    <row r="72" spans="1:17" ht="12.75">
      <c r="A72" s="304"/>
      <c r="B72" s="295" t="str">
        <f>MulComp!B23</f>
        <v> </v>
      </c>
      <c r="C72" s="296" t="str">
        <f>MulComp!C23</f>
        <v> </v>
      </c>
      <c r="D72" s="296" t="str">
        <f>MulComp!D23</f>
        <v> </v>
      </c>
      <c r="E72" s="296" t="str">
        <f>MulComp!E23</f>
        <v> </v>
      </c>
      <c r="F72" s="296" t="e">
        <f>MulComp!F23</f>
        <v>#VALUE!</v>
      </c>
      <c r="G72" s="296" t="e">
        <f>MulComp!G23</f>
        <v>#VALUE!</v>
      </c>
      <c r="H72" s="296" t="e">
        <f>MulComp!H23</f>
        <v>#VALUE!</v>
      </c>
      <c r="I72" s="296" t="e">
        <f>MulComp!I23</f>
        <v>#VALUE!</v>
      </c>
      <c r="J72" s="296" t="e">
        <f>MulComp!J23</f>
        <v>#VALUE!</v>
      </c>
      <c r="K72" s="296" t="e">
        <f>MulComp!K23</f>
        <v>#VALUE!</v>
      </c>
      <c r="L72" s="296" t="e">
        <f>MulComp!L23</f>
        <v>#VALUE!</v>
      </c>
      <c r="M72" s="297">
        <f>MulComp!M23</f>
        <v>0</v>
      </c>
      <c r="N72" s="67" t="str">
        <f>MulComp!N23</f>
        <v>Average value</v>
      </c>
      <c r="O72" s="67"/>
      <c r="P72" s="67"/>
      <c r="Q72" s="67"/>
    </row>
    <row r="73" spans="1:17" ht="12.75">
      <c r="A73" s="304"/>
      <c r="B73" s="298" t="str">
        <f>MulComp!B24</f>
        <v>   </v>
      </c>
      <c r="C73" s="299" t="str">
        <f>MulComp!C24</f>
        <v>   </v>
      </c>
      <c r="D73" s="299" t="str">
        <f>MulComp!D24</f>
        <v>   </v>
      </c>
      <c r="E73" s="299" t="str">
        <f>MulComp!E24</f>
        <v>   </v>
      </c>
      <c r="F73" s="299" t="e">
        <f>MulComp!F24</f>
        <v>#VALUE!</v>
      </c>
      <c r="G73" s="299" t="e">
        <f>MulComp!G24</f>
        <v>#VALUE!</v>
      </c>
      <c r="H73" s="299" t="e">
        <f>MulComp!H24</f>
        <v>#VALUE!</v>
      </c>
      <c r="I73" s="299" t="e">
        <f>MulComp!I24</f>
        <v>#VALUE!</v>
      </c>
      <c r="J73" s="299" t="e">
        <f>MulComp!J24</f>
        <v>#VALUE!</v>
      </c>
      <c r="K73" s="299" t="e">
        <f>MulComp!K24</f>
        <v>#VALUE!</v>
      </c>
      <c r="L73" s="299" t="e">
        <f>MulComp!L24</f>
        <v>#VALUE!</v>
      </c>
      <c r="M73" s="300" t="e">
        <f>MulComp!M24</f>
        <v>#VALUE!</v>
      </c>
      <c r="N73" s="67" t="str">
        <f>MulComp!N24</f>
        <v>Correlate value level code.</v>
      </c>
      <c r="O73" s="67"/>
      <c r="P73" s="67"/>
      <c r="Q73" s="67"/>
    </row>
    <row r="74" spans="1:17" ht="13.5" thickBot="1">
      <c r="A74" s="304"/>
      <c r="B74" s="301" t="str">
        <f>MulComp!B25</f>
        <v>   </v>
      </c>
      <c r="C74" s="302" t="str">
        <f>MulComp!C25</f>
        <v>   </v>
      </c>
      <c r="D74" s="302" t="str">
        <f>MulComp!D25</f>
        <v>   </v>
      </c>
      <c r="E74" s="302" t="str">
        <f>MulComp!E25</f>
        <v>   </v>
      </c>
      <c r="F74" s="302" t="e">
        <f>MulComp!F25</f>
        <v>#VALUE!</v>
      </c>
      <c r="G74" s="302" t="e">
        <f>MulComp!G25</f>
        <v>#VALUE!</v>
      </c>
      <c r="H74" s="302" t="e">
        <f>MulComp!H25</f>
        <v>#VALUE!</v>
      </c>
      <c r="I74" s="302" t="e">
        <f>MulComp!I25</f>
        <v>#VALUE!</v>
      </c>
      <c r="J74" s="302" t="e">
        <f>MulComp!J25</f>
        <v>#VALUE!</v>
      </c>
      <c r="K74" s="302" t="e">
        <f>MulComp!K25</f>
        <v>#VALUE!</v>
      </c>
      <c r="L74" s="302" t="e">
        <f>MulComp!L25</f>
        <v>#VALUE!</v>
      </c>
      <c r="M74" s="303" t="e">
        <f>MulComp!M25</f>
        <v>#VALUE!</v>
      </c>
      <c r="N74" s="67"/>
      <c r="O74" s="67"/>
      <c r="P74" s="67"/>
      <c r="Q74" s="67"/>
    </row>
    <row r="75" spans="1:17" ht="12.75">
      <c r="A75" s="304">
        <f>MulComp!A26</f>
        <v>1</v>
      </c>
      <c r="B75" s="288" t="str">
        <f>MulComp!B26</f>
        <v>X</v>
      </c>
      <c r="C75" s="289" t="str">
        <f>MulComp!C26</f>
        <v>X</v>
      </c>
      <c r="D75" s="289" t="str">
        <f>MulComp!D26</f>
        <v>X</v>
      </c>
      <c r="E75" s="289" t="str">
        <f>MulComp!E26</f>
        <v>X</v>
      </c>
      <c r="F75" s="289" t="e">
        <f>MulComp!F26</f>
        <v>#VALUE!</v>
      </c>
      <c r="G75" s="289" t="e">
        <f>MulComp!G26</f>
        <v>#VALUE!</v>
      </c>
      <c r="H75" s="289" t="e">
        <f>MulComp!H26</f>
        <v>#VALUE!</v>
      </c>
      <c r="I75" s="289" t="e">
        <f>MulComp!I26</f>
        <v>#VALUE!</v>
      </c>
      <c r="J75" s="289" t="e">
        <f>MulComp!J26</f>
        <v>#VALUE!</v>
      </c>
      <c r="K75" s="289" t="e">
        <f>MulComp!K26</f>
        <v>#VALUE!</v>
      </c>
      <c r="L75" s="289" t="e">
        <f>MulComp!L26</f>
        <v>#VALUE!</v>
      </c>
      <c r="M75" s="290" t="e">
        <f>MulComp!M26</f>
        <v>#VALUE!</v>
      </c>
      <c r="N75" s="355" t="e">
        <f>MulComp!N26</f>
        <v>#VALUE!</v>
      </c>
      <c r="O75" s="223">
        <f>MulComp!O26</f>
        <v>0</v>
      </c>
      <c r="P75" s="304"/>
      <c r="Q75" s="67"/>
    </row>
    <row r="76" spans="1:17" ht="12.75">
      <c r="A76" s="304">
        <f>MulComp!A27</f>
        <v>2</v>
      </c>
      <c r="B76" s="291" t="str">
        <f>MulComp!B27</f>
        <v>X</v>
      </c>
      <c r="C76" s="292" t="str">
        <f>MulComp!C27</f>
        <v>X</v>
      </c>
      <c r="D76" s="292" t="str">
        <f>MulComp!D27</f>
        <v>X</v>
      </c>
      <c r="E76" s="292" t="str">
        <f>MulComp!E27</f>
        <v>X</v>
      </c>
      <c r="F76" s="292" t="e">
        <f>MulComp!F27</f>
        <v>#VALUE!</v>
      </c>
      <c r="G76" s="292" t="e">
        <f>MulComp!G27</f>
        <v>#VALUE!</v>
      </c>
      <c r="H76" s="292" t="e">
        <f>MulComp!H27</f>
        <v>#VALUE!</v>
      </c>
      <c r="I76" s="292" t="e">
        <f>MulComp!I27</f>
        <v>#VALUE!</v>
      </c>
      <c r="J76" s="292" t="e">
        <f>MulComp!J27</f>
        <v>#VALUE!</v>
      </c>
      <c r="K76" s="292" t="e">
        <f>MulComp!K27</f>
        <v>#VALUE!</v>
      </c>
      <c r="L76" s="292" t="e">
        <f>MulComp!L27</f>
        <v>#VALUE!</v>
      </c>
      <c r="M76" s="293">
        <v>0</v>
      </c>
      <c r="N76" s="355" t="e">
        <f>MulComp!N27</f>
        <v>#VALUE!</v>
      </c>
      <c r="O76" s="223" t="e">
        <f>MulComp!O27</f>
        <v>#VALUE!</v>
      </c>
      <c r="P76" s="304"/>
      <c r="Q76" s="67"/>
    </row>
    <row r="77" spans="1:17" ht="12.75">
      <c r="A77" s="304">
        <f>MulComp!A28</f>
        <v>3</v>
      </c>
      <c r="B77" s="291" t="str">
        <f>MulComp!B28</f>
        <v>X</v>
      </c>
      <c r="C77" s="292" t="str">
        <f>MulComp!C28</f>
        <v>X</v>
      </c>
      <c r="D77" s="292" t="str">
        <f>MulComp!D28</f>
        <v>X</v>
      </c>
      <c r="E77" s="292" t="str">
        <f>MulComp!E28</f>
        <v>X</v>
      </c>
      <c r="F77" s="292" t="e">
        <f>MulComp!F28</f>
        <v>#VALUE!</v>
      </c>
      <c r="G77" s="292" t="e">
        <f>MulComp!G28</f>
        <v>#VALUE!</v>
      </c>
      <c r="H77" s="292" t="e">
        <f>MulComp!H28</f>
        <v>#VALUE!</v>
      </c>
      <c r="I77" s="292" t="e">
        <f>MulComp!I28</f>
        <v>#VALUE!</v>
      </c>
      <c r="J77" s="292" t="e">
        <f>MulComp!J28</f>
        <v>#VALUE!</v>
      </c>
      <c r="K77" s="292" t="e">
        <f>MulComp!K28</f>
        <v>#VALUE!</v>
      </c>
      <c r="L77" s="294">
        <v>0</v>
      </c>
      <c r="M77" s="293"/>
      <c r="N77" s="355" t="e">
        <f>MulComp!N28</f>
        <v>#VALUE!</v>
      </c>
      <c r="O77" s="223" t="e">
        <f>MulComp!O28</f>
        <v>#VALUE!</v>
      </c>
      <c r="P77" s="304"/>
      <c r="Q77" s="67"/>
    </row>
    <row r="78" spans="1:17" ht="12.75">
      <c r="A78" s="304">
        <f>MulComp!A29</f>
        <v>4</v>
      </c>
      <c r="B78" s="291" t="str">
        <f>MulComp!B29</f>
        <v>X</v>
      </c>
      <c r="C78" s="292" t="str">
        <f>MulComp!C29</f>
        <v>X</v>
      </c>
      <c r="D78" s="292" t="str">
        <f>MulComp!D29</f>
        <v>X</v>
      </c>
      <c r="E78" s="292" t="str">
        <f>MulComp!E29</f>
        <v>X</v>
      </c>
      <c r="F78" s="292" t="e">
        <f>MulComp!F29</f>
        <v>#VALUE!</v>
      </c>
      <c r="G78" s="292" t="e">
        <f>MulComp!G29</f>
        <v>#VALUE!</v>
      </c>
      <c r="H78" s="292" t="e">
        <f>MulComp!H29</f>
        <v>#VALUE!</v>
      </c>
      <c r="I78" s="292" t="e">
        <f>MulComp!I29</f>
        <v>#VALUE!</v>
      </c>
      <c r="J78" s="292" t="e">
        <f>MulComp!J29</f>
        <v>#VALUE!</v>
      </c>
      <c r="K78" s="294">
        <v>0</v>
      </c>
      <c r="L78" s="294"/>
      <c r="M78" s="293"/>
      <c r="N78" s="355" t="e">
        <f>MulComp!N29</f>
        <v>#VALUE!</v>
      </c>
      <c r="O78" s="223" t="e">
        <f>MulComp!O29</f>
        <v>#VALUE!</v>
      </c>
      <c r="P78" s="304"/>
      <c r="Q78" s="67"/>
    </row>
    <row r="79" spans="1:17" ht="12.75">
      <c r="A79" s="304">
        <f>MulComp!A30</f>
        <v>5</v>
      </c>
      <c r="B79" s="291" t="str">
        <f>MulComp!B30</f>
        <v>X</v>
      </c>
      <c r="C79" s="292" t="str">
        <f>MulComp!C30</f>
        <v>X</v>
      </c>
      <c r="D79" s="292" t="str">
        <f>MulComp!D30</f>
        <v>X</v>
      </c>
      <c r="E79" s="292" t="str">
        <f>MulComp!E30</f>
        <v>X</v>
      </c>
      <c r="F79" s="292" t="e">
        <f>MulComp!F30</f>
        <v>#VALUE!</v>
      </c>
      <c r="G79" s="292" t="e">
        <f>MulComp!G30</f>
        <v>#VALUE!</v>
      </c>
      <c r="H79" s="292" t="e">
        <f>MulComp!H30</f>
        <v>#VALUE!</v>
      </c>
      <c r="I79" s="292" t="e">
        <f>MulComp!I30</f>
        <v>#VALUE!</v>
      </c>
      <c r="J79" s="294">
        <v>0</v>
      </c>
      <c r="K79" s="294"/>
      <c r="L79" s="294"/>
      <c r="M79" s="293"/>
      <c r="N79" s="355" t="e">
        <f>MulComp!N30</f>
        <v>#VALUE!</v>
      </c>
      <c r="O79" s="223" t="e">
        <f>MulComp!O30</f>
        <v>#VALUE!</v>
      </c>
      <c r="P79" s="304"/>
      <c r="Q79" s="67"/>
    </row>
    <row r="80" spans="1:17" ht="12.75">
      <c r="A80" s="304">
        <f>MulComp!A31</f>
        <v>6</v>
      </c>
      <c r="B80" s="291" t="str">
        <f>MulComp!B31</f>
        <v>X</v>
      </c>
      <c r="C80" s="292" t="str">
        <f>MulComp!C31</f>
        <v>X</v>
      </c>
      <c r="D80" s="292" t="str">
        <f>MulComp!D31</f>
        <v>X</v>
      </c>
      <c r="E80" s="292" t="str">
        <f>MulComp!E31</f>
        <v>X</v>
      </c>
      <c r="F80" s="292" t="e">
        <f>MulComp!F31</f>
        <v>#VALUE!</v>
      </c>
      <c r="G80" s="292" t="e">
        <f>MulComp!G31</f>
        <v>#VALUE!</v>
      </c>
      <c r="H80" s="292" t="e">
        <f>MulComp!H31</f>
        <v>#VALUE!</v>
      </c>
      <c r="I80" s="294">
        <v>0</v>
      </c>
      <c r="J80" s="294"/>
      <c r="K80" s="294"/>
      <c r="L80" s="294"/>
      <c r="M80" s="293"/>
      <c r="N80" s="355" t="e">
        <f>MulComp!N31</f>
        <v>#VALUE!</v>
      </c>
      <c r="O80" s="223" t="e">
        <f>MulComp!O31</f>
        <v>#VALUE!</v>
      </c>
      <c r="P80" s="304"/>
      <c r="Q80" s="67"/>
    </row>
    <row r="81" spans="1:17" ht="12.75">
      <c r="A81" s="304">
        <f>MulComp!A32</f>
        <v>7</v>
      </c>
      <c r="B81" s="291" t="str">
        <f>MulComp!B32</f>
        <v>X</v>
      </c>
      <c r="C81" s="292" t="str">
        <f>MulComp!C32</f>
        <v>X</v>
      </c>
      <c r="D81" s="292" t="str">
        <f>MulComp!D32</f>
        <v>X</v>
      </c>
      <c r="E81" s="292" t="str">
        <f>MulComp!E32</f>
        <v>X</v>
      </c>
      <c r="F81" s="292" t="e">
        <f>MulComp!F32</f>
        <v>#VALUE!</v>
      </c>
      <c r="G81" s="292" t="e">
        <f>MulComp!G32</f>
        <v>#VALUE!</v>
      </c>
      <c r="H81" s="294">
        <v>0</v>
      </c>
      <c r="I81" s="294"/>
      <c r="J81" s="294"/>
      <c r="K81" s="294"/>
      <c r="L81" s="294"/>
      <c r="M81" s="293"/>
      <c r="N81" s="355" t="e">
        <f>MulComp!N32</f>
        <v>#VALUE!</v>
      </c>
      <c r="O81" s="223" t="e">
        <f>MulComp!O32</f>
        <v>#VALUE!</v>
      </c>
      <c r="P81" s="304"/>
      <c r="Q81" s="67"/>
    </row>
    <row r="82" spans="1:17" ht="12.75">
      <c r="A82" s="304">
        <f>MulComp!A33</f>
        <v>8</v>
      </c>
      <c r="B82" s="291" t="str">
        <f>MulComp!B33</f>
        <v>X</v>
      </c>
      <c r="C82" s="292" t="str">
        <f>MulComp!C33</f>
        <v>X</v>
      </c>
      <c r="D82" s="292" t="str">
        <f>MulComp!D33</f>
        <v>X</v>
      </c>
      <c r="E82" s="292" t="str">
        <f>MulComp!E33</f>
        <v>X</v>
      </c>
      <c r="F82" s="292" t="e">
        <f>MulComp!F33</f>
        <v>#VALUE!</v>
      </c>
      <c r="G82" s="294">
        <v>0</v>
      </c>
      <c r="H82" s="294"/>
      <c r="I82" s="294"/>
      <c r="J82" s="294"/>
      <c r="K82" s="294"/>
      <c r="L82" s="294"/>
      <c r="M82" s="293"/>
      <c r="N82" s="355" t="e">
        <f>MulComp!N33</f>
        <v>#VALUE!</v>
      </c>
      <c r="O82" s="223" t="e">
        <f>MulComp!O33</f>
        <v>#VALUE!</v>
      </c>
      <c r="P82" s="304"/>
      <c r="Q82" s="67"/>
    </row>
    <row r="83" spans="1:17" ht="12.75">
      <c r="A83" s="304">
        <f>MulComp!A34</f>
        <v>9</v>
      </c>
      <c r="B83" s="291" t="str">
        <f>MulComp!B34</f>
        <v>X</v>
      </c>
      <c r="C83" s="292" t="str">
        <f>MulComp!C34</f>
        <v>X</v>
      </c>
      <c r="D83" s="292" t="str">
        <f>MulComp!D34</f>
        <v>X</v>
      </c>
      <c r="E83" s="292" t="str">
        <f>MulComp!E34</f>
        <v>X</v>
      </c>
      <c r="F83" s="294">
        <v>0</v>
      </c>
      <c r="G83" s="294"/>
      <c r="H83" s="294"/>
      <c r="I83" s="294"/>
      <c r="J83" s="294"/>
      <c r="K83" s="294"/>
      <c r="L83" s="294"/>
      <c r="M83" s="293"/>
      <c r="N83" s="355" t="str">
        <f>MulComp!N34</f>
        <v> </v>
      </c>
      <c r="O83" s="223" t="str">
        <f>MulComp!O34</f>
        <v> </v>
      </c>
      <c r="P83" s="304"/>
      <c r="Q83" s="67"/>
    </row>
    <row r="84" spans="1:17" ht="12.75">
      <c r="A84" s="304">
        <f>MulComp!A35</f>
        <v>10</v>
      </c>
      <c r="B84" s="291" t="str">
        <f>MulComp!B35</f>
        <v>X</v>
      </c>
      <c r="C84" s="292" t="str">
        <f>MulComp!C35</f>
        <v>X</v>
      </c>
      <c r="D84" s="292" t="str">
        <f>MulComp!D35</f>
        <v>X</v>
      </c>
      <c r="E84" s="294">
        <v>0</v>
      </c>
      <c r="F84" s="294"/>
      <c r="G84" s="294"/>
      <c r="H84" s="294"/>
      <c r="I84" s="294"/>
      <c r="J84" s="294"/>
      <c r="K84" s="294"/>
      <c r="L84" s="294"/>
      <c r="M84" s="293"/>
      <c r="N84" s="355" t="str">
        <f>MulComp!N35</f>
        <v> </v>
      </c>
      <c r="O84" s="223" t="str">
        <f>MulComp!O35</f>
        <v> </v>
      </c>
      <c r="P84" s="304"/>
      <c r="Q84" s="67"/>
    </row>
    <row r="85" spans="1:17" ht="12.75">
      <c r="A85" s="304">
        <f>MulComp!A36</f>
        <v>11</v>
      </c>
      <c r="B85" s="291" t="str">
        <f>MulComp!B36</f>
        <v>X</v>
      </c>
      <c r="C85" s="292" t="str">
        <f>MulComp!C36</f>
        <v>X</v>
      </c>
      <c r="D85" s="294">
        <v>0</v>
      </c>
      <c r="E85" s="294"/>
      <c r="F85" s="294"/>
      <c r="G85" s="294"/>
      <c r="H85" s="294"/>
      <c r="I85" s="294"/>
      <c r="J85" s="294"/>
      <c r="K85" s="294"/>
      <c r="L85" s="294"/>
      <c r="M85" s="293"/>
      <c r="N85" s="355" t="str">
        <f>MulComp!N36</f>
        <v> </v>
      </c>
      <c r="O85" s="223" t="str">
        <f>MulComp!O36</f>
        <v> </v>
      </c>
      <c r="P85" s="304"/>
      <c r="Q85" s="67"/>
    </row>
    <row r="86" spans="1:17" ht="13.5" thickBot="1">
      <c r="A86" s="304">
        <f>MulComp!A37</f>
        <v>12</v>
      </c>
      <c r="B86" s="287" t="str">
        <f>IF(OR(B$32&gt;$F$66,$A86&gt;$F$66,$A86&gt;B$32),"X",IF(OR(B$32=$A86,$O86-B$35&lt;B125),"-------------"," "))</f>
        <v>X</v>
      </c>
      <c r="C86" s="240">
        <v>0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12"/>
      <c r="N86" s="355" t="str">
        <f>MulComp!N37</f>
        <v> </v>
      </c>
      <c r="O86" s="223" t="str">
        <f>MulComp!O37</f>
        <v> </v>
      </c>
      <c r="P86" s="304"/>
      <c r="Q86" s="67"/>
    </row>
    <row r="87" spans="1:14" ht="12.75">
      <c r="A87" s="224"/>
      <c r="B87" s="225">
        <v>12</v>
      </c>
      <c r="C87" s="225">
        <v>11</v>
      </c>
      <c r="D87" s="225">
        <v>10</v>
      </c>
      <c r="E87" s="225">
        <v>9</v>
      </c>
      <c r="F87" s="225">
        <v>8</v>
      </c>
      <c r="G87" s="225">
        <v>7</v>
      </c>
      <c r="H87" s="225">
        <v>6</v>
      </c>
      <c r="I87" s="225">
        <v>5</v>
      </c>
      <c r="J87" s="225">
        <v>4</v>
      </c>
      <c r="K87" s="225">
        <v>3</v>
      </c>
      <c r="L87" s="225">
        <v>2</v>
      </c>
      <c r="M87" s="225">
        <v>1</v>
      </c>
      <c r="N87" s="226"/>
    </row>
    <row r="88" spans="3:10" ht="13.5" thickBot="1">
      <c r="C88" s="220" t="s">
        <v>246</v>
      </c>
      <c r="D88" s="609" t="s">
        <v>267</v>
      </c>
      <c r="E88" s="610"/>
      <c r="F88" s="610"/>
      <c r="G88" s="611">
        <f>E12</f>
        <v>0.9500000000000001</v>
      </c>
      <c r="H88" s="610"/>
      <c r="I88" s="610"/>
      <c r="J88" s="610"/>
    </row>
    <row r="89" spans="3:13" ht="12.75">
      <c r="C89" s="220"/>
      <c r="D89" s="655" t="s">
        <v>257</v>
      </c>
      <c r="E89" s="656"/>
      <c r="F89" s="656"/>
      <c r="G89" s="656"/>
      <c r="H89" s="656"/>
      <c r="I89" s="656"/>
      <c r="J89" s="656"/>
      <c r="K89" s="656"/>
      <c r="L89" s="656"/>
      <c r="M89" s="657"/>
    </row>
    <row r="90" spans="3:13" ht="12.75">
      <c r="C90" s="582"/>
      <c r="D90" s="646"/>
      <c r="E90" s="647"/>
      <c r="F90" s="647"/>
      <c r="G90" s="647"/>
      <c r="H90" s="647"/>
      <c r="I90" s="647"/>
      <c r="J90" s="647"/>
      <c r="K90" s="550"/>
      <c r="L90" s="550"/>
      <c r="M90" s="551"/>
    </row>
    <row r="91" spans="3:13" ht="13.5" thickBot="1">
      <c r="C91" s="159"/>
      <c r="D91" s="648"/>
      <c r="E91" s="649"/>
      <c r="F91" s="649"/>
      <c r="G91" s="649"/>
      <c r="H91" s="649"/>
      <c r="I91" s="649"/>
      <c r="J91" s="649"/>
      <c r="K91" s="552"/>
      <c r="L91" s="552"/>
      <c r="M91" s="553"/>
    </row>
  </sheetData>
  <sheetProtection password="C550" sheet="1" objects="1" scenarios="1"/>
  <mergeCells count="9">
    <mergeCell ref="D90:J90"/>
    <mergeCell ref="D91:J91"/>
    <mergeCell ref="D3:F3"/>
    <mergeCell ref="B34:H34"/>
    <mergeCell ref="B35:H35"/>
    <mergeCell ref="D89:M89"/>
    <mergeCell ref="D11:F11"/>
    <mergeCell ref="G17:H17"/>
    <mergeCell ref="G36:H36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R58"/>
  <sheetViews>
    <sheetView showGridLines="0" zoomScalePageLayoutView="0" workbookViewId="0" topLeftCell="A1">
      <selection activeCell="V13" sqref="V13"/>
    </sheetView>
  </sheetViews>
  <sheetFormatPr defaultColWidth="9.140625" defaultRowHeight="12.75"/>
  <cols>
    <col min="1" max="1" width="12.7109375" style="0" customWidth="1"/>
    <col min="2" max="14" width="5.7109375" style="0" customWidth="1"/>
    <col min="15" max="15" width="7.7109375" style="0" customWidth="1"/>
    <col min="16" max="16" width="5.7109375" style="0" customWidth="1"/>
    <col min="17" max="17" width="8.7109375" style="0" customWidth="1"/>
    <col min="18" max="30" width="5.7109375" style="0" customWidth="1"/>
  </cols>
  <sheetData>
    <row r="1" spans="1:18" s="55" customFormat="1" ht="12.75">
      <c r="A1" s="305" t="s">
        <v>99</v>
      </c>
      <c r="B1" s="14"/>
      <c r="C1" s="14"/>
      <c r="D1" s="14"/>
      <c r="E1" s="14"/>
      <c r="F1" s="14"/>
      <c r="G1" s="14"/>
      <c r="H1" s="12"/>
      <c r="I1" s="14"/>
      <c r="J1" s="14"/>
      <c r="K1" s="14"/>
      <c r="L1" s="14"/>
      <c r="M1" s="14"/>
      <c r="O1" s="146"/>
      <c r="Q1" s="14"/>
      <c r="R1" s="14"/>
    </row>
    <row r="2" spans="1:18" s="55" customFormat="1" ht="12.75">
      <c r="A2" s="14"/>
      <c r="B2" s="14"/>
      <c r="C2" s="14"/>
      <c r="D2" s="14"/>
      <c r="E2" s="14"/>
      <c r="F2" s="14"/>
      <c r="G2" s="14"/>
      <c r="H2" s="12"/>
      <c r="J2" s="14"/>
      <c r="K2" s="14"/>
      <c r="L2" s="259"/>
      <c r="M2" s="258"/>
      <c r="O2" s="146"/>
      <c r="Q2" s="14"/>
      <c r="R2" s="14"/>
    </row>
    <row r="3" spans="1:18" ht="13.5" thickBot="1">
      <c r="A3" s="14"/>
      <c r="B3" s="14" t="s">
        <v>9</v>
      </c>
      <c r="C3" s="14"/>
      <c r="D3" s="14"/>
      <c r="E3" s="14"/>
      <c r="F3" s="14"/>
      <c r="G3" s="306">
        <f>IF(OR(Input!$M$9=2,Input!$M$9=3,Input!$M$9=4),"(APPROXIMATELY,  CALCULATED and ROUNDED !!)","")</f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3"/>
    </row>
    <row r="4" spans="1:18" ht="13.5" thickBot="1">
      <c r="A4" s="14"/>
      <c r="B4" s="307"/>
      <c r="C4" s="308">
        <v>1</v>
      </c>
      <c r="D4" s="309">
        <f aca="true" t="shared" si="0" ref="D4:N4">C4+1</f>
        <v>2</v>
      </c>
      <c r="E4" s="309">
        <f t="shared" si="0"/>
        <v>3</v>
      </c>
      <c r="F4" s="309">
        <f t="shared" si="0"/>
        <v>4</v>
      </c>
      <c r="G4" s="309">
        <f t="shared" si="0"/>
        <v>5</v>
      </c>
      <c r="H4" s="309">
        <f t="shared" si="0"/>
        <v>6</v>
      </c>
      <c r="I4" s="309">
        <f t="shared" si="0"/>
        <v>7</v>
      </c>
      <c r="J4" s="309">
        <f t="shared" si="0"/>
        <v>8</v>
      </c>
      <c r="K4" s="309">
        <f t="shared" si="0"/>
        <v>9</v>
      </c>
      <c r="L4" s="309">
        <f t="shared" si="0"/>
        <v>10</v>
      </c>
      <c r="M4" s="309">
        <f t="shared" si="0"/>
        <v>11</v>
      </c>
      <c r="N4" s="310">
        <f t="shared" si="0"/>
        <v>12</v>
      </c>
      <c r="O4" s="311" t="s">
        <v>0</v>
      </c>
      <c r="P4" s="14"/>
      <c r="Q4" s="14"/>
      <c r="R4" s="3"/>
    </row>
    <row r="5" spans="1:18" ht="12.75">
      <c r="A5" s="268">
        <f>Input!F10</f>
        <v>7</v>
      </c>
      <c r="B5" s="312">
        <v>12</v>
      </c>
      <c r="C5" s="173" t="str">
        <f>IF(OR(C$4&gt;Input!$F$16,$B5&gt;Input!$F$12,Input!$M$9=9),"  ",ROUND((IF(Input!$M$9=1,Input!D39,IF(Input!$M$9=2,Input!D39*Input!$M$6/100,IF(Input!$M$9=3,Input!D39*Input!$P39/100,IF(Input!$M$9=4,Input!D39*Input!D$51/100," "))))),0))</f>
        <v>  </v>
      </c>
      <c r="D5" s="174" t="str">
        <f>IF(OR(D$4&gt;Input!$F$16,$B5&gt;Input!$F$12,Input!$M$9=9),"  ",ROUND((IF(Input!$M$9=1,Input!E39,IF(Input!$M$9=2,Input!E39*Input!$M$6/100,IF(Input!$M$9=3,Input!E39*Input!$P39/100,IF(Input!$M$9=4,Input!E39*Input!E$51/100," "))))),0))</f>
        <v>  </v>
      </c>
      <c r="E5" s="174" t="str">
        <f>IF(OR(E$4&gt;Input!$F$16,$B5&gt;Input!$F$12,Input!$M$9=9),"  ",ROUND((IF(Input!$M$9=1,Input!F39,IF(Input!$M$9=2,Input!F39*Input!$M$6/100,IF(Input!$M$9=3,Input!F39*Input!$P39/100,IF(Input!$M$9=4,Input!F39*Input!F$51/100," "))))),0))</f>
        <v>  </v>
      </c>
      <c r="F5" s="174" t="str">
        <f>IF(OR(F$4&gt;Input!$F$16,$B5&gt;Input!$F$12,Input!$M$9=9),"  ",ROUND((IF(Input!$M$9=1,Input!G39,IF(Input!$M$9=2,Input!G39*Input!$M$6/100,IF(Input!$M$9=3,Input!G39*Input!$P39/100,IF(Input!$M$9=4,Input!G39*Input!G$51/100," "))))),0))</f>
        <v>  </v>
      </c>
      <c r="G5" s="174" t="str">
        <f>IF(OR(G$4&gt;Input!$F$16,$B5&gt;Input!$F$12,Input!$M$9=9),"  ",ROUND((IF(Input!$M$9=1,Input!H39,IF(Input!$M$9=2,Input!H39*Input!$M$6/100,IF(Input!$M$9=3,Input!H39*Input!$P39/100,IF(Input!$M$9=4,Input!H39*Input!H$51/100," "))))),0))</f>
        <v>  </v>
      </c>
      <c r="H5" s="174" t="str">
        <f>IF(OR(H$4&gt;Input!$F$16,$B5&gt;Input!$F$12,Input!$M$9=9),"  ",ROUND((IF(Input!$M$9=1,Input!I39,IF(Input!$M$9=2,Input!I39*Input!$M$6/100,IF(Input!$M$9=3,Input!I39*Input!$P39/100,IF(Input!$M$9=4,Input!I39*Input!I$51/100," "))))),0))</f>
        <v>  </v>
      </c>
      <c r="I5" s="174" t="str">
        <f>IF(OR(I$4&gt;Input!$F$16,$B5&gt;Input!$F$12,Input!$M$9=9),"  ",ROUND((IF(Input!$M$9=1,Input!J39,IF(Input!$M$9=2,Input!J39*Input!$M$6/100,IF(Input!$M$9=3,Input!J39*Input!$P39/100,IF(Input!$M$9=4,Input!J39*Input!J$51/100," "))))),0))</f>
        <v>  </v>
      </c>
      <c r="J5" s="174" t="str">
        <f>IF(OR(J$4&gt;Input!$F$16,$B5&gt;Input!$F$12,Input!$M$9=9),"  ",ROUND((IF(Input!$M$9=1,Input!K39,IF(Input!$M$9=2,Input!K39*Input!$M$6/100,IF(Input!$M$9=3,Input!K39*Input!$P39/100,IF(Input!$M$9=4,Input!K39*Input!K$51/100," "))))),0))</f>
        <v>  </v>
      </c>
      <c r="K5" s="174" t="str">
        <f>IF(OR(K$4&gt;Input!$F$16,$B5&gt;Input!$F$12,Input!$M$9=9),"  ",ROUND((IF(Input!$M$9=1,Input!L39,IF(Input!$M$9=2,Input!L39*Input!$M$6/100,IF(Input!$M$9=3,Input!L39*Input!$P39/100,IF(Input!$M$9=4,Input!L39*Input!L$51/100," "))))),0))</f>
        <v>  </v>
      </c>
      <c r="L5" s="174" t="str">
        <f>IF(OR(L$4&gt;Input!$F$16,$B5&gt;Input!$F$12,Input!$M$9=9),"  ",ROUND((IF(Input!$M$9=1,Input!M39,IF(Input!$M$9=2,Input!M39*Input!$M$6/100,IF(Input!$M$9=3,Input!M39*Input!$P39/100,IF(Input!$M$9=4,Input!M39*Input!M$51/100," "))))),0))</f>
        <v>  </v>
      </c>
      <c r="M5" s="174" t="str">
        <f>IF(OR(M$4&gt;Input!$F$16,$B5&gt;Input!$F$12,Input!$M$9=9),"  ",ROUND((IF(Input!$M$9=1,Input!N39,IF(Input!$M$9=2,Input!N39*Input!$M$6/100,IF(Input!$M$9=3,Input!N39*Input!$P39/100,IF(Input!$M$9=4,Input!N39*Input!N$51/100," "))))),0))</f>
        <v>  </v>
      </c>
      <c r="N5" s="175" t="str">
        <f>IF(OR(N$4&gt;Input!$F$16,$B5&gt;Input!$F$12,Input!$M$9=9),"  ",ROUND((IF(Input!$M$9=1,Input!O39,IF(Input!$M$9=2,Input!O39*Input!$M$6/100,IF(Input!$M$9=3,Input!O39*Input!$P39/100,IF(Input!$M$9=4,Input!O39*Input!O$51/100," "))))),0))</f>
        <v>  </v>
      </c>
      <c r="O5" s="176">
        <f>IF(B5&gt;Input!$F$12,"",SUM(C5:N5))</f>
      </c>
      <c r="P5" s="14"/>
      <c r="Q5" s="14"/>
      <c r="R5" s="3"/>
    </row>
    <row r="6" spans="1:18" ht="12.75">
      <c r="A6" s="268">
        <f>Input!F11</f>
        <v>1</v>
      </c>
      <c r="B6" s="313">
        <v>11</v>
      </c>
      <c r="C6" s="177" t="str">
        <f>IF(OR(C$4&gt;Input!$F$16,$B6&gt;Input!$F$12,Input!$M$9=9),"  ",ROUND((IF(Input!$M$9=1,Input!D40,IF(Input!$M$9=2,Input!D40*Input!$M$6/100,IF(Input!$M$9=3,Input!D40*Input!$P40/100,IF(Input!$M$9=4,Input!D40*Input!D$51/100," "))))),0))</f>
        <v>  </v>
      </c>
      <c r="D6" s="178" t="str">
        <f>IF(OR(D$4&gt;Input!$F$16,$B6&gt;Input!$F$12,Input!$M$9=9),"  ",ROUND((IF(Input!$M$9=1,Input!E40,IF(Input!$M$9=2,Input!E40*Input!$M$6/100,IF(Input!$M$9=3,Input!E40*Input!$P40/100,IF(Input!$M$9=4,Input!E40*Input!E$51/100," "))))),0))</f>
        <v>  </v>
      </c>
      <c r="E6" s="178" t="str">
        <f>IF(OR(E$4&gt;Input!$F$16,$B6&gt;Input!$F$12,Input!$M$9=9),"  ",ROUND((IF(Input!$M$9=1,Input!F40,IF(Input!$M$9=2,Input!F40*Input!$M$6/100,IF(Input!$M$9=3,Input!F40*Input!$P40/100,IF(Input!$M$9=4,Input!F40*Input!F$51/100," "))))),0))</f>
        <v>  </v>
      </c>
      <c r="F6" s="178" t="str">
        <f>IF(OR(F$4&gt;Input!$F$16,$B6&gt;Input!$F$12,Input!$M$9=9),"  ",ROUND((IF(Input!$M$9=1,Input!G40,IF(Input!$M$9=2,Input!G40*Input!$M$6/100,IF(Input!$M$9=3,Input!G40*Input!$P40/100,IF(Input!$M$9=4,Input!G40*Input!G$51/100," "))))),0))</f>
        <v>  </v>
      </c>
      <c r="G6" s="178" t="str">
        <f>IF(OR(G$4&gt;Input!$F$16,$B6&gt;Input!$F$12,Input!$M$9=9),"  ",ROUND((IF(Input!$M$9=1,Input!H40,IF(Input!$M$9=2,Input!H40*Input!$M$6/100,IF(Input!$M$9=3,Input!H40*Input!$P40/100,IF(Input!$M$9=4,Input!H40*Input!H$51/100," "))))),0))</f>
        <v>  </v>
      </c>
      <c r="H6" s="178" t="str">
        <f>IF(OR(H$4&gt;Input!$F$16,$B6&gt;Input!$F$12,Input!$M$9=9),"  ",ROUND((IF(Input!$M$9=1,Input!I40,IF(Input!$M$9=2,Input!I40*Input!$M$6/100,IF(Input!$M$9=3,Input!I40*Input!$P40/100,IF(Input!$M$9=4,Input!I40*Input!I$51/100," "))))),0))</f>
        <v>  </v>
      </c>
      <c r="I6" s="178" t="str">
        <f>IF(OR(I$4&gt;Input!$F$16,$B6&gt;Input!$F$12,Input!$M$9=9),"  ",ROUND((IF(Input!$M$9=1,Input!J40,IF(Input!$M$9=2,Input!J40*Input!$M$6/100,IF(Input!$M$9=3,Input!J40*Input!$P40/100,IF(Input!$M$9=4,Input!J40*Input!J$51/100," "))))),0))</f>
        <v>  </v>
      </c>
      <c r="J6" s="178" t="str">
        <f>IF(OR(J$4&gt;Input!$F$16,$B6&gt;Input!$F$12,Input!$M$9=9),"  ",ROUND((IF(Input!$M$9=1,Input!K40,IF(Input!$M$9=2,Input!K40*Input!$M$6/100,IF(Input!$M$9=3,Input!K40*Input!$P40/100,IF(Input!$M$9=4,Input!K40*Input!K$51/100," "))))),0))</f>
        <v>  </v>
      </c>
      <c r="K6" s="178" t="str">
        <f>IF(OR(K$4&gt;Input!$F$16,$B6&gt;Input!$F$12,Input!$M$9=9),"  ",ROUND((IF(Input!$M$9=1,Input!L40,IF(Input!$M$9=2,Input!L40*Input!$M$6/100,IF(Input!$M$9=3,Input!L40*Input!$P40/100,IF(Input!$M$9=4,Input!L40*Input!L$51/100," "))))),0))</f>
        <v>  </v>
      </c>
      <c r="L6" s="178" t="str">
        <f>IF(OR(L$4&gt;Input!$F$16,$B6&gt;Input!$F$12,Input!$M$9=9),"  ",ROUND((IF(Input!$M$9=1,Input!M40,IF(Input!$M$9=2,Input!M40*Input!$M$6/100,IF(Input!$M$9=3,Input!M40*Input!$P40/100,IF(Input!$M$9=4,Input!M40*Input!M$51/100," "))))),0))</f>
        <v>  </v>
      </c>
      <c r="M6" s="178" t="str">
        <f>IF(OR(M$4&gt;Input!$F$16,$B6&gt;Input!$F$12,Input!$M$9=9),"  ",ROUND((IF(Input!$M$9=1,Input!N40,IF(Input!$M$9=2,Input!N40*Input!$M$6/100,IF(Input!$M$9=3,Input!N40*Input!$P40/100,IF(Input!$M$9=4,Input!N40*Input!N$51/100," "))))),0))</f>
        <v>  </v>
      </c>
      <c r="N6" s="179" t="str">
        <f>IF(OR(N$4&gt;Input!$F$16,$B6&gt;Input!$F$12,Input!$M$9=9),"  ",ROUND((IF(Input!$M$9=1,Input!O40,IF(Input!$M$9=2,Input!O40*Input!$M$6/100,IF(Input!$M$9=3,Input!O40*Input!$P40/100,IF(Input!$M$9=4,Input!O40*Input!O$51/100," "))))),0))</f>
        <v>  </v>
      </c>
      <c r="O6" s="180">
        <f>IF(B6&gt;Input!$F$12,"",SUM(C6:N6))</f>
      </c>
      <c r="P6" s="14"/>
      <c r="Q6" s="14"/>
      <c r="R6" s="3"/>
    </row>
    <row r="7" spans="1:18" ht="12.75">
      <c r="A7" s="268"/>
      <c r="B7" s="313">
        <v>10</v>
      </c>
      <c r="C7" s="177" t="str">
        <f>IF(OR(C$4&gt;Input!$F$16,$B7&gt;Input!$F$12,Input!$M$9=9),"  ",ROUND((IF(Input!$M$9=1,Input!D41,IF(Input!$M$9=2,Input!D41*Input!$M$6/100,IF(Input!$M$9=3,Input!D41*Input!$P41/100,IF(Input!$M$9=4,Input!D41*Input!D$51/100," "))))),0))</f>
        <v>  </v>
      </c>
      <c r="D7" s="178" t="str">
        <f>IF(OR(D$4&gt;Input!$F$16,$B7&gt;Input!$F$12,Input!$M$9=9),"  ",ROUND((IF(Input!$M$9=1,Input!E41,IF(Input!$M$9=2,Input!E41*Input!$M$6/100,IF(Input!$M$9=3,Input!E41*Input!$P41/100,IF(Input!$M$9=4,Input!E41*Input!E$51/100," "))))),0))</f>
        <v>  </v>
      </c>
      <c r="E7" s="178" t="str">
        <f>IF(OR(E$4&gt;Input!$F$16,$B7&gt;Input!$F$12,Input!$M$9=9),"  ",ROUND((IF(Input!$M$9=1,Input!F41,IF(Input!$M$9=2,Input!F41*Input!$M$6/100,IF(Input!$M$9=3,Input!F41*Input!$P41/100,IF(Input!$M$9=4,Input!F41*Input!F$51/100," "))))),0))</f>
        <v>  </v>
      </c>
      <c r="F7" s="178" t="str">
        <f>IF(OR(F$4&gt;Input!$F$16,$B7&gt;Input!$F$12,Input!$M$9=9),"  ",ROUND((IF(Input!$M$9=1,Input!G41,IF(Input!$M$9=2,Input!G41*Input!$M$6/100,IF(Input!$M$9=3,Input!G41*Input!$P41/100,IF(Input!$M$9=4,Input!G41*Input!G$51/100," "))))),0))</f>
        <v>  </v>
      </c>
      <c r="G7" s="178" t="str">
        <f>IF(OR(G$4&gt;Input!$F$16,$B7&gt;Input!$F$12,Input!$M$9=9),"  ",ROUND((IF(Input!$M$9=1,Input!H41,IF(Input!$M$9=2,Input!H41*Input!$M$6/100,IF(Input!$M$9=3,Input!H41*Input!$P41/100,IF(Input!$M$9=4,Input!H41*Input!H$51/100," "))))),0))</f>
        <v>  </v>
      </c>
      <c r="H7" s="178" t="str">
        <f>IF(OR(H$4&gt;Input!$F$16,$B7&gt;Input!$F$12,Input!$M$9=9),"  ",ROUND((IF(Input!$M$9=1,Input!I41,IF(Input!$M$9=2,Input!I41*Input!$M$6/100,IF(Input!$M$9=3,Input!I41*Input!$P41/100,IF(Input!$M$9=4,Input!I41*Input!I$51/100," "))))),0))</f>
        <v>  </v>
      </c>
      <c r="I7" s="178" t="str">
        <f>IF(OR(I$4&gt;Input!$F$16,$B7&gt;Input!$F$12,Input!$M$9=9),"  ",ROUND((IF(Input!$M$9=1,Input!J41,IF(Input!$M$9=2,Input!J41*Input!$M$6/100,IF(Input!$M$9=3,Input!J41*Input!$P41/100,IF(Input!$M$9=4,Input!J41*Input!J$51/100," "))))),0))</f>
        <v>  </v>
      </c>
      <c r="J7" s="178" t="str">
        <f>IF(OR(J$4&gt;Input!$F$16,$B7&gt;Input!$F$12,Input!$M$9=9),"  ",ROUND((IF(Input!$M$9=1,Input!K41,IF(Input!$M$9=2,Input!K41*Input!$M$6/100,IF(Input!$M$9=3,Input!K41*Input!$P41/100,IF(Input!$M$9=4,Input!K41*Input!K$51/100," "))))),0))</f>
        <v>  </v>
      </c>
      <c r="K7" s="178" t="str">
        <f>IF(OR(K$4&gt;Input!$F$16,$B7&gt;Input!$F$12,Input!$M$9=9),"  ",ROUND((IF(Input!$M$9=1,Input!L41,IF(Input!$M$9=2,Input!L41*Input!$M$6/100,IF(Input!$M$9=3,Input!L41*Input!$P41/100,IF(Input!$M$9=4,Input!L41*Input!L$51/100," "))))),0))</f>
        <v>  </v>
      </c>
      <c r="L7" s="178" t="str">
        <f>IF(OR(L$4&gt;Input!$F$16,$B7&gt;Input!$F$12,Input!$M$9=9),"  ",ROUND((IF(Input!$M$9=1,Input!M41,IF(Input!$M$9=2,Input!M41*Input!$M$6/100,IF(Input!$M$9=3,Input!M41*Input!$P41/100,IF(Input!$M$9=4,Input!M41*Input!M$51/100," "))))),0))</f>
        <v>  </v>
      </c>
      <c r="M7" s="178" t="str">
        <f>IF(OR(M$4&gt;Input!$F$16,$B7&gt;Input!$F$12,Input!$M$9=9),"  ",ROUND((IF(Input!$M$9=1,Input!N41,IF(Input!$M$9=2,Input!N41*Input!$M$6/100,IF(Input!$M$9=3,Input!N41*Input!$P41/100,IF(Input!$M$9=4,Input!N41*Input!N$51/100," "))))),0))</f>
        <v>  </v>
      </c>
      <c r="N7" s="179" t="str">
        <f>IF(OR(N$4&gt;Input!$F$16,$B7&gt;Input!$F$12,Input!$M$9=9),"  ",ROUND((IF(Input!$M$9=1,Input!O41,IF(Input!$M$9=2,Input!O41*Input!$M$6/100,IF(Input!$M$9=3,Input!O41*Input!$P41/100,IF(Input!$M$9=4,Input!O41*Input!O$51/100," "))))),0))</f>
        <v>  </v>
      </c>
      <c r="O7" s="180">
        <f>IF(B7&gt;Input!$F$12,"",SUM(C7:N7))</f>
      </c>
      <c r="P7" s="14"/>
      <c r="Q7" s="14"/>
      <c r="R7" s="3"/>
    </row>
    <row r="8" spans="1:18" ht="12.75">
      <c r="A8" s="268">
        <f>Input!F13</f>
        <v>0</v>
      </c>
      <c r="B8" s="313">
        <v>9</v>
      </c>
      <c r="C8" s="177" t="str">
        <f>IF(OR(C$4&gt;Input!$F$16,$B8&gt;Input!$F$12,Input!$M$9=9),"  ",ROUND((IF(Input!$M$9=1,Input!D42,IF(Input!$M$9=2,Input!D42*Input!$M$6/100,IF(Input!$M$9=3,Input!D42*Input!$P42/100,IF(Input!$M$9=4,Input!D42*Input!D$51/100," "))))),0))</f>
        <v>  </v>
      </c>
      <c r="D8" s="178" t="str">
        <f>IF(OR(D$4&gt;Input!$F$16,$B8&gt;Input!$F$12,Input!$M$9=9),"  ",ROUND((IF(Input!$M$9=1,Input!E42,IF(Input!$M$9=2,Input!E42*Input!$M$6/100,IF(Input!$M$9=3,Input!E42*Input!$P42/100,IF(Input!$M$9=4,Input!E42*Input!E$51/100," "))))),0))</f>
        <v>  </v>
      </c>
      <c r="E8" s="178" t="str">
        <f>IF(OR(E$4&gt;Input!$F$16,$B8&gt;Input!$F$12,Input!$M$9=9),"  ",ROUND((IF(Input!$M$9=1,Input!F42,IF(Input!$M$9=2,Input!F42*Input!$M$6/100,IF(Input!$M$9=3,Input!F42*Input!$P42/100,IF(Input!$M$9=4,Input!F42*Input!F$51/100," "))))),0))</f>
        <v>  </v>
      </c>
      <c r="F8" s="178" t="str">
        <f>IF(OR(F$4&gt;Input!$F$16,$B8&gt;Input!$F$12,Input!$M$9=9),"  ",ROUND((IF(Input!$M$9=1,Input!G42,IF(Input!$M$9=2,Input!G42*Input!$M$6/100,IF(Input!$M$9=3,Input!G42*Input!$P42/100,IF(Input!$M$9=4,Input!G42*Input!G$51/100," "))))),0))</f>
        <v>  </v>
      </c>
      <c r="G8" s="178" t="str">
        <f>IF(OR(G$4&gt;Input!$F$16,$B8&gt;Input!$F$12,Input!$M$9=9),"  ",ROUND((IF(Input!$M$9=1,Input!H42,IF(Input!$M$9=2,Input!H42*Input!$M$6/100,IF(Input!$M$9=3,Input!H42*Input!$P42/100,IF(Input!$M$9=4,Input!H42*Input!H$51/100," "))))),0))</f>
        <v>  </v>
      </c>
      <c r="H8" s="178" t="str">
        <f>IF(OR(H$4&gt;Input!$F$16,$B8&gt;Input!$F$12,Input!$M$9=9),"  ",ROUND((IF(Input!$M$9=1,Input!I42,IF(Input!$M$9=2,Input!I42*Input!$M$6/100,IF(Input!$M$9=3,Input!I42*Input!$P42/100,IF(Input!$M$9=4,Input!I42*Input!I$51/100," "))))),0))</f>
        <v>  </v>
      </c>
      <c r="I8" s="178" t="str">
        <f>IF(OR(I$4&gt;Input!$F$16,$B8&gt;Input!$F$12,Input!$M$9=9),"  ",ROUND((IF(Input!$M$9=1,Input!J42,IF(Input!$M$9=2,Input!J42*Input!$M$6/100,IF(Input!$M$9=3,Input!J42*Input!$P42/100,IF(Input!$M$9=4,Input!J42*Input!J$51/100," "))))),0))</f>
        <v>  </v>
      </c>
      <c r="J8" s="178" t="str">
        <f>IF(OR(J$4&gt;Input!$F$16,$B8&gt;Input!$F$12,Input!$M$9=9),"  ",ROUND((IF(Input!$M$9=1,Input!K42,IF(Input!$M$9=2,Input!K42*Input!$M$6/100,IF(Input!$M$9=3,Input!K42*Input!$P42/100,IF(Input!$M$9=4,Input!K42*Input!K$51/100," "))))),0))</f>
        <v>  </v>
      </c>
      <c r="K8" s="178" t="str">
        <f>IF(OR(K$4&gt;Input!$F$16,$B8&gt;Input!$F$12,Input!$M$9=9),"  ",ROUND((IF(Input!$M$9=1,Input!L42,IF(Input!$M$9=2,Input!L42*Input!$M$6/100,IF(Input!$M$9=3,Input!L42*Input!$P42/100,IF(Input!$M$9=4,Input!L42*Input!L$51/100," "))))),0))</f>
        <v>  </v>
      </c>
      <c r="L8" s="178" t="str">
        <f>IF(OR(L$4&gt;Input!$F$16,$B8&gt;Input!$F$12,Input!$M$9=9),"  ",ROUND((IF(Input!$M$9=1,Input!M42,IF(Input!$M$9=2,Input!M42*Input!$M$6/100,IF(Input!$M$9=3,Input!M42*Input!$P42/100,IF(Input!$M$9=4,Input!M42*Input!M$51/100," "))))),0))</f>
        <v>  </v>
      </c>
      <c r="M8" s="178" t="str">
        <f>IF(OR(M$4&gt;Input!$F$16,$B8&gt;Input!$F$12,Input!$M$9=9),"  ",ROUND((IF(Input!$M$9=1,Input!N42,IF(Input!$M$9=2,Input!N42*Input!$M$6/100,IF(Input!$M$9=3,Input!N42*Input!$P42/100,IF(Input!$M$9=4,Input!N42*Input!N$51/100," "))))),0))</f>
        <v>  </v>
      </c>
      <c r="N8" s="179" t="str">
        <f>IF(OR(N$4&gt;Input!$F$16,$B8&gt;Input!$F$12,Input!$M$9=9),"  ",ROUND((IF(Input!$M$9=1,Input!O42,IF(Input!$M$9=2,Input!O42*Input!$M$6/100,IF(Input!$M$9=3,Input!O42*Input!$P42/100,IF(Input!$M$9=4,Input!O42*Input!O$51/100," "))))),0))</f>
        <v>  </v>
      </c>
      <c r="O8" s="180">
        <f>IF(B8&gt;Input!$F$12,"",SUM(C8:N8))</f>
      </c>
      <c r="P8" s="14"/>
      <c r="Q8" s="14"/>
      <c r="R8" s="3"/>
    </row>
    <row r="9" spans="1:18" ht="12.75">
      <c r="A9" s="314"/>
      <c r="B9" s="313">
        <v>8</v>
      </c>
      <c r="C9" s="177" t="str">
        <f>IF(OR(C$4&gt;Input!$F$16,$B9&gt;Input!$F$12,Input!$M$9=9),"  ",ROUND((IF(Input!$M$9=1,Input!D43,IF(Input!$M$9=2,Input!D43*Input!$M$6/100,IF(Input!$M$9=3,Input!D43*Input!$P43/100,IF(Input!$M$9=4,Input!D43*Input!D$51/100," "))))),0))</f>
        <v>  </v>
      </c>
      <c r="D9" s="178" t="str">
        <f>IF(OR(D$4&gt;Input!$F$16,$B9&gt;Input!$F$12,Input!$M$9=9),"  ",ROUND((IF(Input!$M$9=1,Input!E43,IF(Input!$M$9=2,Input!E43*Input!$M$6/100,IF(Input!$M$9=3,Input!E43*Input!$P43/100,IF(Input!$M$9=4,Input!E43*Input!E$51/100," "))))),0))</f>
        <v>  </v>
      </c>
      <c r="E9" s="178" t="str">
        <f>IF(OR(E$4&gt;Input!$F$16,$B9&gt;Input!$F$12,Input!$M$9=9),"  ",ROUND((IF(Input!$M$9=1,Input!F43,IF(Input!$M$9=2,Input!F43*Input!$M$6/100,IF(Input!$M$9=3,Input!F43*Input!$P43/100,IF(Input!$M$9=4,Input!F43*Input!F$51/100," "))))),0))</f>
        <v>  </v>
      </c>
      <c r="F9" s="178" t="str">
        <f>IF(OR(F$4&gt;Input!$F$16,$B9&gt;Input!$F$12,Input!$M$9=9),"  ",ROUND((IF(Input!$M$9=1,Input!G43,IF(Input!$M$9=2,Input!G43*Input!$M$6/100,IF(Input!$M$9=3,Input!G43*Input!$P43/100,IF(Input!$M$9=4,Input!G43*Input!G$51/100," "))))),0))</f>
        <v>  </v>
      </c>
      <c r="G9" s="178" t="str">
        <f>IF(OR(G$4&gt;Input!$F$16,$B9&gt;Input!$F$12,Input!$M$9=9),"  ",ROUND((IF(Input!$M$9=1,Input!H43,IF(Input!$M$9=2,Input!H43*Input!$M$6/100,IF(Input!$M$9=3,Input!H43*Input!$P43/100,IF(Input!$M$9=4,Input!H43*Input!H$51/100," "))))),0))</f>
        <v>  </v>
      </c>
      <c r="H9" s="178" t="str">
        <f>IF(OR(H$4&gt;Input!$F$16,$B9&gt;Input!$F$12,Input!$M$9=9),"  ",ROUND((IF(Input!$M$9=1,Input!I43,IF(Input!$M$9=2,Input!I43*Input!$M$6/100,IF(Input!$M$9=3,Input!I43*Input!$P43/100,IF(Input!$M$9=4,Input!I43*Input!I$51/100," "))))),0))</f>
        <v>  </v>
      </c>
      <c r="I9" s="178" t="str">
        <f>IF(OR(I$4&gt;Input!$F$16,$B9&gt;Input!$F$12,Input!$M$9=9),"  ",ROUND((IF(Input!$M$9=1,Input!J43,IF(Input!$M$9=2,Input!J43*Input!$M$6/100,IF(Input!$M$9=3,Input!J43*Input!$P43/100,IF(Input!$M$9=4,Input!J43*Input!J$51/100," "))))),0))</f>
        <v>  </v>
      </c>
      <c r="J9" s="178" t="str">
        <f>IF(OR(J$4&gt;Input!$F$16,$B9&gt;Input!$F$12,Input!$M$9=9),"  ",ROUND((IF(Input!$M$9=1,Input!K43,IF(Input!$M$9=2,Input!K43*Input!$M$6/100,IF(Input!$M$9=3,Input!K43*Input!$P43/100,IF(Input!$M$9=4,Input!K43*Input!K$51/100," "))))),0))</f>
        <v>  </v>
      </c>
      <c r="K9" s="178" t="str">
        <f>IF(OR(K$4&gt;Input!$F$16,$B9&gt;Input!$F$12,Input!$M$9=9),"  ",ROUND((IF(Input!$M$9=1,Input!L43,IF(Input!$M$9=2,Input!L43*Input!$M$6/100,IF(Input!$M$9=3,Input!L43*Input!$P43/100,IF(Input!$M$9=4,Input!L43*Input!L$51/100," "))))),0))</f>
        <v>  </v>
      </c>
      <c r="L9" s="178" t="str">
        <f>IF(OR(L$4&gt;Input!$F$16,$B9&gt;Input!$F$12,Input!$M$9=9),"  ",ROUND((IF(Input!$M$9=1,Input!M43,IF(Input!$M$9=2,Input!M43*Input!$M$6/100,IF(Input!$M$9=3,Input!M43*Input!$P43/100,IF(Input!$M$9=4,Input!M43*Input!M$51/100," "))))),0))</f>
        <v>  </v>
      </c>
      <c r="M9" s="178" t="str">
        <f>IF(OR(M$4&gt;Input!$F$16,$B9&gt;Input!$F$12,Input!$M$9=9),"  ",ROUND((IF(Input!$M$9=1,Input!N43,IF(Input!$M$9=2,Input!N43*Input!$M$6/100,IF(Input!$M$9=3,Input!N43*Input!$P43/100,IF(Input!$M$9=4,Input!N43*Input!N$51/100," "))))),0))</f>
        <v>  </v>
      </c>
      <c r="N9" s="179" t="str">
        <f>IF(OR(N$4&gt;Input!$F$16,$B9&gt;Input!$F$12,Input!$M$9=9),"  ",ROUND((IF(Input!$M$9=1,Input!O43,IF(Input!$M$9=2,Input!O43*Input!$M$6/100,IF(Input!$M$9=3,Input!O43*Input!$P43/100,IF(Input!$M$9=4,Input!O43*Input!O$51/100," "))))),0))</f>
        <v>  </v>
      </c>
      <c r="O9" s="180">
        <f>IF(B9&gt;Input!$F$12,"",SUM(C9:N9))</f>
      </c>
      <c r="P9" s="14"/>
      <c r="Q9" s="14"/>
      <c r="R9" s="3"/>
    </row>
    <row r="10" spans="1:18" ht="12.75">
      <c r="A10" s="314"/>
      <c r="B10" s="313">
        <v>7</v>
      </c>
      <c r="C10" s="177" t="str">
        <f>IF(OR(C$4&gt;Input!$F$16,$B10&gt;Input!$F$12,Input!$M$9=9),"  ",ROUND((IF(Input!$M$9=1,Input!D44,IF(Input!$M$9=2,Input!D44*Input!$M$6/100,IF(Input!$M$9=3,Input!D44*Input!$P44/100,IF(Input!$M$9=4,Input!D44*Input!D$51/100," "))))),0))</f>
        <v>  </v>
      </c>
      <c r="D10" s="178" t="str">
        <f>IF(OR(D$4&gt;Input!$F$16,$B10&gt;Input!$F$12,Input!$M$9=9),"  ",ROUND((IF(Input!$M$9=1,Input!E44,IF(Input!$M$9=2,Input!E44*Input!$M$6/100,IF(Input!$M$9=3,Input!E44*Input!$P44/100,IF(Input!$M$9=4,Input!E44*Input!E$51/100," "))))),0))</f>
        <v>  </v>
      </c>
      <c r="E10" s="178" t="str">
        <f>IF(OR(E$4&gt;Input!$F$16,$B10&gt;Input!$F$12,Input!$M$9=9),"  ",ROUND((IF(Input!$M$9=1,Input!F44,IF(Input!$M$9=2,Input!F44*Input!$M$6/100,IF(Input!$M$9=3,Input!F44*Input!$P44/100,IF(Input!$M$9=4,Input!F44*Input!F$51/100," "))))),0))</f>
        <v>  </v>
      </c>
      <c r="F10" s="178" t="str">
        <f>IF(OR(F$4&gt;Input!$F$16,$B10&gt;Input!$F$12,Input!$M$9=9),"  ",ROUND((IF(Input!$M$9=1,Input!G44,IF(Input!$M$9=2,Input!G44*Input!$M$6/100,IF(Input!$M$9=3,Input!G44*Input!$P44/100,IF(Input!$M$9=4,Input!G44*Input!G$51/100," "))))),0))</f>
        <v>  </v>
      </c>
      <c r="G10" s="178" t="str">
        <f>IF(OR(G$4&gt;Input!$F$16,$B10&gt;Input!$F$12,Input!$M$9=9),"  ",ROUND((IF(Input!$M$9=1,Input!H44,IF(Input!$M$9=2,Input!H44*Input!$M$6/100,IF(Input!$M$9=3,Input!H44*Input!$P44/100,IF(Input!$M$9=4,Input!H44*Input!H$51/100," "))))),0))</f>
        <v>  </v>
      </c>
      <c r="H10" s="178" t="str">
        <f>IF(OR(H$4&gt;Input!$F$16,$B10&gt;Input!$F$12,Input!$M$9=9),"  ",ROUND((IF(Input!$M$9=1,Input!I44,IF(Input!$M$9=2,Input!I44*Input!$M$6/100,IF(Input!$M$9=3,Input!I44*Input!$P44/100,IF(Input!$M$9=4,Input!I44*Input!I$51/100," "))))),0))</f>
        <v>  </v>
      </c>
      <c r="I10" s="178" t="str">
        <f>IF(OR(I$4&gt;Input!$F$16,$B10&gt;Input!$F$12,Input!$M$9=9),"  ",ROUND((IF(Input!$M$9=1,Input!J44,IF(Input!$M$9=2,Input!J44*Input!$M$6/100,IF(Input!$M$9=3,Input!J44*Input!$P44/100,IF(Input!$M$9=4,Input!J44*Input!J$51/100," "))))),0))</f>
        <v>  </v>
      </c>
      <c r="J10" s="178" t="str">
        <f>IF(OR(J$4&gt;Input!$F$16,$B10&gt;Input!$F$12,Input!$M$9=9),"  ",ROUND((IF(Input!$M$9=1,Input!K44,IF(Input!$M$9=2,Input!K44*Input!$M$6/100,IF(Input!$M$9=3,Input!K44*Input!$P44/100,IF(Input!$M$9=4,Input!K44*Input!K$51/100," "))))),0))</f>
        <v>  </v>
      </c>
      <c r="K10" s="178" t="str">
        <f>IF(OR(K$4&gt;Input!$F$16,$B10&gt;Input!$F$12,Input!$M$9=9),"  ",ROUND((IF(Input!$M$9=1,Input!L44,IF(Input!$M$9=2,Input!L44*Input!$M$6/100,IF(Input!$M$9=3,Input!L44*Input!$P44/100,IF(Input!$M$9=4,Input!L44*Input!L$51/100," "))))),0))</f>
        <v>  </v>
      </c>
      <c r="L10" s="178" t="str">
        <f>IF(OR(L$4&gt;Input!$F$16,$B10&gt;Input!$F$12,Input!$M$9=9),"  ",ROUND((IF(Input!$M$9=1,Input!M44,IF(Input!$M$9=2,Input!M44*Input!$M$6/100,IF(Input!$M$9=3,Input!M44*Input!$P44/100,IF(Input!$M$9=4,Input!M44*Input!M$51/100," "))))),0))</f>
        <v>  </v>
      </c>
      <c r="M10" s="178" t="str">
        <f>IF(OR(M$4&gt;Input!$F$16,$B10&gt;Input!$F$12,Input!$M$9=9),"  ",ROUND((IF(Input!$M$9=1,Input!N44,IF(Input!$M$9=2,Input!N44*Input!$M$6/100,IF(Input!$M$9=3,Input!N44*Input!$P44/100,IF(Input!$M$9=4,Input!N44*Input!N$51/100," "))))),0))</f>
        <v>  </v>
      </c>
      <c r="N10" s="179" t="str">
        <f>IF(OR(N$4&gt;Input!$F$16,$B10&gt;Input!$F$12,Input!$M$9=9),"  ",ROUND((IF(Input!$M$9=1,Input!O44,IF(Input!$M$9=2,Input!O44*Input!$M$6/100,IF(Input!$M$9=3,Input!O44*Input!$P44/100,IF(Input!$M$9=4,Input!O44*Input!O$51/100," "))))),0))</f>
        <v>  </v>
      </c>
      <c r="O10" s="180">
        <f>IF(B10&gt;Input!$F$12,"",SUM(C10:N10))</f>
        <v>0</v>
      </c>
      <c r="P10" s="14"/>
      <c r="Q10" s="14"/>
      <c r="R10" s="3"/>
    </row>
    <row r="11" spans="1:18" ht="12.75">
      <c r="A11" s="314"/>
      <c r="B11" s="313">
        <v>6</v>
      </c>
      <c r="C11" s="177" t="str">
        <f>IF(OR(C$4&gt;Input!$F$16,$B11&gt;Input!$F$12,Input!$M$9=9),"  ",ROUND((IF(Input!$M$9=1,Input!D45,IF(Input!$M$9=2,Input!D45*Input!$M$6/100,IF(Input!$M$9=3,Input!D45*Input!$P45/100,IF(Input!$M$9=4,Input!D45*Input!D$51/100," "))))),0))</f>
        <v>  </v>
      </c>
      <c r="D11" s="178" t="str">
        <f>IF(OR(D$4&gt;Input!$F$16,$B11&gt;Input!$F$12,Input!$M$9=9),"  ",ROUND((IF(Input!$M$9=1,Input!E45,IF(Input!$M$9=2,Input!E45*Input!$M$6/100,IF(Input!$M$9=3,Input!E45*Input!$P45/100,IF(Input!$M$9=4,Input!E45*Input!E$51/100," "))))),0))</f>
        <v>  </v>
      </c>
      <c r="E11" s="178" t="str">
        <f>IF(OR(E$4&gt;Input!$F$16,$B11&gt;Input!$F$12,Input!$M$9=9),"  ",ROUND((IF(Input!$M$9=1,Input!F45,IF(Input!$M$9=2,Input!F45*Input!$M$6/100,IF(Input!$M$9=3,Input!F45*Input!$P45/100,IF(Input!$M$9=4,Input!F45*Input!F$51/100," "))))),0))</f>
        <v>  </v>
      </c>
      <c r="F11" s="178" t="str">
        <f>IF(OR(F$4&gt;Input!$F$16,$B11&gt;Input!$F$12,Input!$M$9=9),"  ",ROUND((IF(Input!$M$9=1,Input!G45,IF(Input!$M$9=2,Input!G45*Input!$M$6/100,IF(Input!$M$9=3,Input!G45*Input!$P45/100,IF(Input!$M$9=4,Input!G45*Input!G$51/100," "))))),0))</f>
        <v>  </v>
      </c>
      <c r="G11" s="178" t="str">
        <f>IF(OR(G$4&gt;Input!$F$16,$B11&gt;Input!$F$12,Input!$M$9=9),"  ",ROUND((IF(Input!$M$9=1,Input!H45,IF(Input!$M$9=2,Input!H45*Input!$M$6/100,IF(Input!$M$9=3,Input!H45*Input!$P45/100,IF(Input!$M$9=4,Input!H45*Input!H$51/100," "))))),0))</f>
        <v>  </v>
      </c>
      <c r="H11" s="178" t="str">
        <f>IF(OR(H$4&gt;Input!$F$16,$B11&gt;Input!$F$12,Input!$M$9=9),"  ",ROUND((IF(Input!$M$9=1,Input!I45,IF(Input!$M$9=2,Input!I45*Input!$M$6/100,IF(Input!$M$9=3,Input!I45*Input!$P45/100,IF(Input!$M$9=4,Input!I45*Input!I$51/100," "))))),0))</f>
        <v>  </v>
      </c>
      <c r="I11" s="178" t="str">
        <f>IF(OR(I$4&gt;Input!$F$16,$B11&gt;Input!$F$12,Input!$M$9=9),"  ",ROUND((IF(Input!$M$9=1,Input!J45,IF(Input!$M$9=2,Input!J45*Input!$M$6/100,IF(Input!$M$9=3,Input!J45*Input!$P45/100,IF(Input!$M$9=4,Input!J45*Input!J$51/100," "))))),0))</f>
        <v>  </v>
      </c>
      <c r="J11" s="178" t="str">
        <f>IF(OR(J$4&gt;Input!$F$16,$B11&gt;Input!$F$12,Input!$M$9=9),"  ",ROUND((IF(Input!$M$9=1,Input!K45,IF(Input!$M$9=2,Input!K45*Input!$M$6/100,IF(Input!$M$9=3,Input!K45*Input!$P45/100,IF(Input!$M$9=4,Input!K45*Input!K$51/100," "))))),0))</f>
        <v>  </v>
      </c>
      <c r="K11" s="178" t="str">
        <f>IF(OR(K$4&gt;Input!$F$16,$B11&gt;Input!$F$12,Input!$M$9=9),"  ",ROUND((IF(Input!$M$9=1,Input!L45,IF(Input!$M$9=2,Input!L45*Input!$M$6/100,IF(Input!$M$9=3,Input!L45*Input!$P45/100,IF(Input!$M$9=4,Input!L45*Input!L$51/100," "))))),0))</f>
        <v>  </v>
      </c>
      <c r="L11" s="178" t="str">
        <f>IF(OR(L$4&gt;Input!$F$16,$B11&gt;Input!$F$12,Input!$M$9=9),"  ",ROUND((IF(Input!$M$9=1,Input!M45,IF(Input!$M$9=2,Input!M45*Input!$M$6/100,IF(Input!$M$9=3,Input!M45*Input!$P45/100,IF(Input!$M$9=4,Input!M45*Input!M$51/100," "))))),0))</f>
        <v>  </v>
      </c>
      <c r="M11" s="178" t="str">
        <f>IF(OR(M$4&gt;Input!$F$16,$B11&gt;Input!$F$12,Input!$M$9=9),"  ",ROUND((IF(Input!$M$9=1,Input!N45,IF(Input!$M$9=2,Input!N45*Input!$M$6/100,IF(Input!$M$9=3,Input!N45*Input!$P45/100,IF(Input!$M$9=4,Input!N45*Input!N$51/100," "))))),0))</f>
        <v>  </v>
      </c>
      <c r="N11" s="179" t="str">
        <f>IF(OR(N$4&gt;Input!$F$16,$B11&gt;Input!$F$12,Input!$M$9=9),"  ",ROUND((IF(Input!$M$9=1,Input!O45,IF(Input!$M$9=2,Input!O45*Input!$M$6/100,IF(Input!$M$9=3,Input!O45*Input!$P45/100,IF(Input!$M$9=4,Input!O45*Input!O$51/100," "))))),0))</f>
        <v>  </v>
      </c>
      <c r="O11" s="180">
        <f>IF(B11&gt;Input!$F$12,"",SUM(C11:N11))</f>
        <v>0</v>
      </c>
      <c r="P11" s="14"/>
      <c r="Q11" s="14"/>
      <c r="R11" s="3"/>
    </row>
    <row r="12" spans="1:18" ht="12.75">
      <c r="A12" s="314"/>
      <c r="B12" s="313">
        <v>5</v>
      </c>
      <c r="C12" s="177" t="str">
        <f>IF(OR(C$4&gt;Input!$F$16,$B12&gt;Input!$F$12,Input!$M$9=9),"  ",ROUND((IF(Input!$M$9=1,Input!D46,IF(Input!$M$9=2,Input!D46*Input!$M$6/100,IF(Input!$M$9=3,Input!D46*Input!$P46/100,IF(Input!$M$9=4,Input!D46*Input!D$51/100," "))))),0))</f>
        <v>  </v>
      </c>
      <c r="D12" s="178" t="str">
        <f>IF(OR(D$4&gt;Input!$F$16,$B12&gt;Input!$F$12,Input!$M$9=9),"  ",ROUND((IF(Input!$M$9=1,Input!E46,IF(Input!$M$9=2,Input!E46*Input!$M$6/100,IF(Input!$M$9=3,Input!E46*Input!$P46/100,IF(Input!$M$9=4,Input!E46*Input!E$51/100," "))))),0))</f>
        <v>  </v>
      </c>
      <c r="E12" s="178" t="str">
        <f>IF(OR(E$4&gt;Input!$F$16,$B12&gt;Input!$F$12,Input!$M$9=9),"  ",ROUND((IF(Input!$M$9=1,Input!F46,IF(Input!$M$9=2,Input!F46*Input!$M$6/100,IF(Input!$M$9=3,Input!F46*Input!$P46/100,IF(Input!$M$9=4,Input!F46*Input!F$51/100," "))))),0))</f>
        <v>  </v>
      </c>
      <c r="F12" s="178" t="str">
        <f>IF(OR(F$4&gt;Input!$F$16,$B12&gt;Input!$F$12,Input!$M$9=9),"  ",ROUND((IF(Input!$M$9=1,Input!G46,IF(Input!$M$9=2,Input!G46*Input!$M$6/100,IF(Input!$M$9=3,Input!G46*Input!$P46/100,IF(Input!$M$9=4,Input!G46*Input!G$51/100," "))))),0))</f>
        <v>  </v>
      </c>
      <c r="G12" s="178" t="str">
        <f>IF(OR(G$4&gt;Input!$F$16,$B12&gt;Input!$F$12,Input!$M$9=9),"  ",ROUND((IF(Input!$M$9=1,Input!H46,IF(Input!$M$9=2,Input!H46*Input!$M$6/100,IF(Input!$M$9=3,Input!H46*Input!$P46/100,IF(Input!$M$9=4,Input!H46*Input!H$51/100," "))))),0))</f>
        <v>  </v>
      </c>
      <c r="H12" s="178" t="str">
        <f>IF(OR(H$4&gt;Input!$F$16,$B12&gt;Input!$F$12,Input!$M$9=9),"  ",ROUND((IF(Input!$M$9=1,Input!I46,IF(Input!$M$9=2,Input!I46*Input!$M$6/100,IF(Input!$M$9=3,Input!I46*Input!$P46/100,IF(Input!$M$9=4,Input!I46*Input!I$51/100," "))))),0))</f>
        <v>  </v>
      </c>
      <c r="I12" s="178" t="str">
        <f>IF(OR(I$4&gt;Input!$F$16,$B12&gt;Input!$F$12,Input!$M$9=9),"  ",ROUND((IF(Input!$M$9=1,Input!J46,IF(Input!$M$9=2,Input!J46*Input!$M$6/100,IF(Input!$M$9=3,Input!J46*Input!$P46/100,IF(Input!$M$9=4,Input!J46*Input!J$51/100," "))))),0))</f>
        <v>  </v>
      </c>
      <c r="J12" s="178" t="str">
        <f>IF(OR(J$4&gt;Input!$F$16,$B12&gt;Input!$F$12,Input!$M$9=9),"  ",ROUND((IF(Input!$M$9=1,Input!K46,IF(Input!$M$9=2,Input!K46*Input!$M$6/100,IF(Input!$M$9=3,Input!K46*Input!$P46/100,IF(Input!$M$9=4,Input!K46*Input!K$51/100," "))))),0))</f>
        <v>  </v>
      </c>
      <c r="K12" s="178" t="str">
        <f>IF(OR(K$4&gt;Input!$F$16,$B12&gt;Input!$F$12,Input!$M$9=9),"  ",ROUND((IF(Input!$M$9=1,Input!L46,IF(Input!$M$9=2,Input!L46*Input!$M$6/100,IF(Input!$M$9=3,Input!L46*Input!$P46/100,IF(Input!$M$9=4,Input!L46*Input!L$51/100," "))))),0))</f>
        <v>  </v>
      </c>
      <c r="L12" s="178" t="str">
        <f>IF(OR(L$4&gt;Input!$F$16,$B12&gt;Input!$F$12,Input!$M$9=9),"  ",ROUND((IF(Input!$M$9=1,Input!M46,IF(Input!$M$9=2,Input!M46*Input!$M$6/100,IF(Input!$M$9=3,Input!M46*Input!$P46/100,IF(Input!$M$9=4,Input!M46*Input!M$51/100," "))))),0))</f>
        <v>  </v>
      </c>
      <c r="M12" s="178" t="str">
        <f>IF(OR(M$4&gt;Input!$F$16,$B12&gt;Input!$F$12,Input!$M$9=9),"  ",ROUND((IF(Input!$M$9=1,Input!N46,IF(Input!$M$9=2,Input!N46*Input!$M$6/100,IF(Input!$M$9=3,Input!N46*Input!$P46/100,IF(Input!$M$9=4,Input!N46*Input!N$51/100," "))))),0))</f>
        <v>  </v>
      </c>
      <c r="N12" s="179" t="str">
        <f>IF(OR(N$4&gt;Input!$F$16,$B12&gt;Input!$F$12,Input!$M$9=9),"  ",ROUND((IF(Input!$M$9=1,Input!O46,IF(Input!$M$9=2,Input!O46*Input!$M$6/100,IF(Input!$M$9=3,Input!O46*Input!$P46/100,IF(Input!$M$9=4,Input!O46*Input!O$51/100," "))))),0))</f>
        <v>  </v>
      </c>
      <c r="O12" s="180">
        <f>IF(B12&gt;Input!$F$12,"",SUM(C12:N12))</f>
        <v>0</v>
      </c>
      <c r="P12" s="14"/>
      <c r="Q12" s="14"/>
      <c r="R12" s="3"/>
    </row>
    <row r="13" spans="1:18" ht="12.75">
      <c r="A13" s="314"/>
      <c r="B13" s="313">
        <v>4</v>
      </c>
      <c r="C13" s="177" t="str">
        <f>IF(OR(C$4&gt;Input!$F$16,$B13&gt;Input!$F$12,Input!$M$9=9),"  ",ROUND((IF(Input!$M$9=1,Input!D47,IF(Input!$M$9=2,Input!D47*Input!$M$6/100,IF(Input!$M$9=3,Input!D47*Input!$P47/100,IF(Input!$M$9=4,Input!D47*Input!D$51/100," "))))),0))</f>
        <v>  </v>
      </c>
      <c r="D13" s="178" t="str">
        <f>IF(OR(D$4&gt;Input!$F$16,$B13&gt;Input!$F$12,Input!$M$9=9),"  ",ROUND((IF(Input!$M$9=1,Input!E47,IF(Input!$M$9=2,Input!E47*Input!$M$6/100,IF(Input!$M$9=3,Input!E47*Input!$P47/100,IF(Input!$M$9=4,Input!E47*Input!E$51/100," "))))),0))</f>
        <v>  </v>
      </c>
      <c r="E13" s="178" t="str">
        <f>IF(OR(E$4&gt;Input!$F$16,$B13&gt;Input!$F$12,Input!$M$9=9),"  ",ROUND((IF(Input!$M$9=1,Input!F47,IF(Input!$M$9=2,Input!F47*Input!$M$6/100,IF(Input!$M$9=3,Input!F47*Input!$P47/100,IF(Input!$M$9=4,Input!F47*Input!F$51/100," "))))),0))</f>
        <v>  </v>
      </c>
      <c r="F13" s="178" t="str">
        <f>IF(OR(F$4&gt;Input!$F$16,$B13&gt;Input!$F$12,Input!$M$9=9),"  ",ROUND((IF(Input!$M$9=1,Input!G47,IF(Input!$M$9=2,Input!G47*Input!$M$6/100,IF(Input!$M$9=3,Input!G47*Input!$P47/100,IF(Input!$M$9=4,Input!G47*Input!G$51/100," "))))),0))</f>
        <v>  </v>
      </c>
      <c r="G13" s="178" t="str">
        <f>IF(OR(G$4&gt;Input!$F$16,$B13&gt;Input!$F$12,Input!$M$9=9),"  ",ROUND((IF(Input!$M$9=1,Input!H47,IF(Input!$M$9=2,Input!H47*Input!$M$6/100,IF(Input!$M$9=3,Input!H47*Input!$P47/100,IF(Input!$M$9=4,Input!H47*Input!H$51/100," "))))),0))</f>
        <v>  </v>
      </c>
      <c r="H13" s="178" t="str">
        <f>IF(OR(H$4&gt;Input!$F$16,$B13&gt;Input!$F$12,Input!$M$9=9),"  ",ROUND((IF(Input!$M$9=1,Input!I47,IF(Input!$M$9=2,Input!I47*Input!$M$6/100,IF(Input!$M$9=3,Input!I47*Input!$P47/100,IF(Input!$M$9=4,Input!I47*Input!I$51/100," "))))),0))</f>
        <v>  </v>
      </c>
      <c r="I13" s="178" t="str">
        <f>IF(OR(I$4&gt;Input!$F$16,$B13&gt;Input!$F$12,Input!$M$9=9),"  ",ROUND((IF(Input!$M$9=1,Input!J47,IF(Input!$M$9=2,Input!J47*Input!$M$6/100,IF(Input!$M$9=3,Input!J47*Input!$P47/100,IF(Input!$M$9=4,Input!J47*Input!J$51/100," "))))),0))</f>
        <v>  </v>
      </c>
      <c r="J13" s="178" t="str">
        <f>IF(OR(J$4&gt;Input!$F$16,$B13&gt;Input!$F$12,Input!$M$9=9),"  ",ROUND((IF(Input!$M$9=1,Input!K47,IF(Input!$M$9=2,Input!K47*Input!$M$6/100,IF(Input!$M$9=3,Input!K47*Input!$P47/100,IF(Input!$M$9=4,Input!K47*Input!K$51/100," "))))),0))</f>
        <v>  </v>
      </c>
      <c r="K13" s="178" t="str">
        <f>IF(OR(K$4&gt;Input!$F$16,$B13&gt;Input!$F$12,Input!$M$9=9),"  ",ROUND((IF(Input!$M$9=1,Input!L47,IF(Input!$M$9=2,Input!L47*Input!$M$6/100,IF(Input!$M$9=3,Input!L47*Input!$P47/100,IF(Input!$M$9=4,Input!L47*Input!L$51/100," "))))),0))</f>
        <v>  </v>
      </c>
      <c r="L13" s="178" t="str">
        <f>IF(OR(L$4&gt;Input!$F$16,$B13&gt;Input!$F$12,Input!$M$9=9),"  ",ROUND((IF(Input!$M$9=1,Input!M47,IF(Input!$M$9=2,Input!M47*Input!$M$6/100,IF(Input!$M$9=3,Input!M47*Input!$P47/100,IF(Input!$M$9=4,Input!M47*Input!M$51/100," "))))),0))</f>
        <v>  </v>
      </c>
      <c r="M13" s="178" t="str">
        <f>IF(OR(M$4&gt;Input!$F$16,$B13&gt;Input!$F$12,Input!$M$9=9),"  ",ROUND((IF(Input!$M$9=1,Input!N47,IF(Input!$M$9=2,Input!N47*Input!$M$6/100,IF(Input!$M$9=3,Input!N47*Input!$P47/100,IF(Input!$M$9=4,Input!N47*Input!N$51/100," "))))),0))</f>
        <v>  </v>
      </c>
      <c r="N13" s="179" t="str">
        <f>IF(OR(N$4&gt;Input!$F$16,$B13&gt;Input!$F$12,Input!$M$9=9),"  ",ROUND((IF(Input!$M$9=1,Input!O47,IF(Input!$M$9=2,Input!O47*Input!$M$6/100,IF(Input!$M$9=3,Input!O47*Input!$P47/100,IF(Input!$M$9=4,Input!O47*Input!O$51/100," "))))),0))</f>
        <v>  </v>
      </c>
      <c r="O13" s="180">
        <f>IF(B13&gt;Input!$F$12,"",SUM(C13:N13))</f>
        <v>0</v>
      </c>
      <c r="P13" s="14"/>
      <c r="Q13" s="14"/>
      <c r="R13" s="3"/>
    </row>
    <row r="14" spans="1:18" ht="12.75">
      <c r="A14" s="315" t="s">
        <v>46</v>
      </c>
      <c r="B14" s="313">
        <v>3</v>
      </c>
      <c r="C14" s="177" t="str">
        <f>IF(OR(C$4&gt;Input!$F$16,$B14&gt;Input!$F$12,Input!$M$9=9),"  ",ROUND((IF(Input!$M$9=1,Input!D48,IF(Input!$M$9=2,Input!D48*Input!$M$6/100,IF(Input!$M$9=3,Input!D48*Input!$P48/100,IF(Input!$M$9=4,Input!D48*Input!D$51/100," "))))),0))</f>
        <v>  </v>
      </c>
      <c r="D14" s="178" t="str">
        <f>IF(OR(D$4&gt;Input!$F$16,$B14&gt;Input!$F$12,Input!$M$9=9),"  ",ROUND((IF(Input!$M$9=1,Input!E48,IF(Input!$M$9=2,Input!E48*Input!$M$6/100,IF(Input!$M$9=3,Input!E48*Input!$P48/100,IF(Input!$M$9=4,Input!E48*Input!E$51/100," "))))),0))</f>
        <v>  </v>
      </c>
      <c r="E14" s="178" t="str">
        <f>IF(OR(E$4&gt;Input!$F$16,$B14&gt;Input!$F$12,Input!$M$9=9),"  ",ROUND((IF(Input!$M$9=1,Input!F48,IF(Input!$M$9=2,Input!F48*Input!$M$6/100,IF(Input!$M$9=3,Input!F48*Input!$P48/100,IF(Input!$M$9=4,Input!F48*Input!F$51/100," "))))),0))</f>
        <v>  </v>
      </c>
      <c r="F14" s="178" t="str">
        <f>IF(OR(F$4&gt;Input!$F$16,$B14&gt;Input!$F$12,Input!$M$9=9),"  ",ROUND((IF(Input!$M$9=1,Input!G48,IF(Input!$M$9=2,Input!G48*Input!$M$6/100,IF(Input!$M$9=3,Input!G48*Input!$P48/100,IF(Input!$M$9=4,Input!G48*Input!G$51/100," "))))),0))</f>
        <v>  </v>
      </c>
      <c r="G14" s="178" t="str">
        <f>IF(OR(G$4&gt;Input!$F$16,$B14&gt;Input!$F$12,Input!$M$9=9),"  ",ROUND((IF(Input!$M$9=1,Input!H48,IF(Input!$M$9=2,Input!H48*Input!$M$6/100,IF(Input!$M$9=3,Input!H48*Input!$P48/100,IF(Input!$M$9=4,Input!H48*Input!H$51/100," "))))),0))</f>
        <v>  </v>
      </c>
      <c r="H14" s="178" t="str">
        <f>IF(OR(H$4&gt;Input!$F$16,$B14&gt;Input!$F$12,Input!$M$9=9),"  ",ROUND((IF(Input!$M$9=1,Input!I48,IF(Input!$M$9=2,Input!I48*Input!$M$6/100,IF(Input!$M$9=3,Input!I48*Input!$P48/100,IF(Input!$M$9=4,Input!I48*Input!I$51/100," "))))),0))</f>
        <v>  </v>
      </c>
      <c r="I14" s="178" t="str">
        <f>IF(OR(I$4&gt;Input!$F$16,$B14&gt;Input!$F$12,Input!$M$9=9),"  ",ROUND((IF(Input!$M$9=1,Input!J48,IF(Input!$M$9=2,Input!J48*Input!$M$6/100,IF(Input!$M$9=3,Input!J48*Input!$P48/100,IF(Input!$M$9=4,Input!J48*Input!J$51/100," "))))),0))</f>
        <v>  </v>
      </c>
      <c r="J14" s="178" t="str">
        <f>IF(OR(J$4&gt;Input!$F$16,$B14&gt;Input!$F$12,Input!$M$9=9),"  ",ROUND((IF(Input!$M$9=1,Input!K48,IF(Input!$M$9=2,Input!K48*Input!$M$6/100,IF(Input!$M$9=3,Input!K48*Input!$P48/100,IF(Input!$M$9=4,Input!K48*Input!K$51/100," "))))),0))</f>
        <v>  </v>
      </c>
      <c r="K14" s="178" t="str">
        <f>IF(OR(K$4&gt;Input!$F$16,$B14&gt;Input!$F$12,Input!$M$9=9),"  ",ROUND((IF(Input!$M$9=1,Input!L48,IF(Input!$M$9=2,Input!L48*Input!$M$6/100,IF(Input!$M$9=3,Input!L48*Input!$P48/100,IF(Input!$M$9=4,Input!L48*Input!L$51/100," "))))),0))</f>
        <v>  </v>
      </c>
      <c r="L14" s="178" t="str">
        <f>IF(OR(L$4&gt;Input!$F$16,$B14&gt;Input!$F$12,Input!$M$9=9),"  ",ROUND((IF(Input!$M$9=1,Input!M48,IF(Input!$M$9=2,Input!M48*Input!$M$6/100,IF(Input!$M$9=3,Input!M48*Input!$P48/100,IF(Input!$M$9=4,Input!M48*Input!M$51/100," "))))),0))</f>
        <v>  </v>
      </c>
      <c r="M14" s="178" t="str">
        <f>IF(OR(M$4&gt;Input!$F$16,$B14&gt;Input!$F$12,Input!$M$9=9),"  ",ROUND((IF(Input!$M$9=1,Input!N48,IF(Input!$M$9=2,Input!N48*Input!$M$6/100,IF(Input!$M$9=3,Input!N48*Input!$P48/100,IF(Input!$M$9=4,Input!N48*Input!N$51/100," "))))),0))</f>
        <v>  </v>
      </c>
      <c r="N14" s="179" t="str">
        <f>IF(OR(N$4&gt;Input!$F$16,$B14&gt;Input!$F$12,Input!$M$9=9),"  ",ROUND((IF(Input!$M$9=1,Input!O48,IF(Input!$M$9=2,Input!O48*Input!$M$6/100,IF(Input!$M$9=3,Input!O48*Input!$P48/100,IF(Input!$M$9=4,Input!O48*Input!O$51/100," "))))),0))</f>
        <v>  </v>
      </c>
      <c r="O14" s="180">
        <f>IF(B14&gt;Input!$F$12,"",SUM(C14:N14))</f>
        <v>0</v>
      </c>
      <c r="P14" s="14"/>
      <c r="Q14" s="14"/>
      <c r="R14" s="3"/>
    </row>
    <row r="15" spans="1:18" ht="12.75">
      <c r="A15" s="315" t="s">
        <v>45</v>
      </c>
      <c r="B15" s="313">
        <v>2</v>
      </c>
      <c r="C15" s="177" t="str">
        <f>IF(OR(C$4&gt;Input!$F$16,$B15&gt;Input!$F$12,Input!$M$9=9),"  ",ROUND((IF(Input!$M$9=1,Input!D49,IF(Input!$M$9=2,Input!D49*Input!$M$6/100,IF(Input!$M$9=3,Input!D49*Input!$P49/100,IF(Input!$M$9=4,Input!D49*Input!D$51/100," "))))),0))</f>
        <v>  </v>
      </c>
      <c r="D15" s="178" t="str">
        <f>IF(OR(D$4&gt;Input!$F$16,$B15&gt;Input!$F$12,Input!$M$9=9),"  ",ROUND((IF(Input!$M$9=1,Input!E49,IF(Input!$M$9=2,Input!E49*Input!$M$6/100,IF(Input!$M$9=3,Input!E49*Input!$P49/100,IF(Input!$M$9=4,Input!E49*Input!E$51/100," "))))),0))</f>
        <v>  </v>
      </c>
      <c r="E15" s="178" t="str">
        <f>IF(OR(E$4&gt;Input!$F$16,$B15&gt;Input!$F$12,Input!$M$9=9),"  ",ROUND((IF(Input!$M$9=1,Input!F49,IF(Input!$M$9=2,Input!F49*Input!$M$6/100,IF(Input!$M$9=3,Input!F49*Input!$P49/100,IF(Input!$M$9=4,Input!F49*Input!F$51/100," "))))),0))</f>
        <v>  </v>
      </c>
      <c r="F15" s="178" t="str">
        <f>IF(OR(F$4&gt;Input!$F$16,$B15&gt;Input!$F$12,Input!$M$9=9),"  ",ROUND((IF(Input!$M$9=1,Input!G49,IF(Input!$M$9=2,Input!G49*Input!$M$6/100,IF(Input!$M$9=3,Input!G49*Input!$P49/100,IF(Input!$M$9=4,Input!G49*Input!G$51/100," "))))),0))</f>
        <v>  </v>
      </c>
      <c r="G15" s="178" t="str">
        <f>IF(OR(G$4&gt;Input!$F$16,$B15&gt;Input!$F$12,Input!$M$9=9),"  ",ROUND((IF(Input!$M$9=1,Input!H49,IF(Input!$M$9=2,Input!H49*Input!$M$6/100,IF(Input!$M$9=3,Input!H49*Input!$P49/100,IF(Input!$M$9=4,Input!H49*Input!H$51/100," "))))),0))</f>
        <v>  </v>
      </c>
      <c r="H15" s="178" t="str">
        <f>IF(OR(H$4&gt;Input!$F$16,$B15&gt;Input!$F$12,Input!$M$9=9),"  ",ROUND((IF(Input!$M$9=1,Input!I49,IF(Input!$M$9=2,Input!I49*Input!$M$6/100,IF(Input!$M$9=3,Input!I49*Input!$P49/100,IF(Input!$M$9=4,Input!I49*Input!I$51/100," "))))),0))</f>
        <v>  </v>
      </c>
      <c r="I15" s="178" t="str">
        <f>IF(OR(I$4&gt;Input!$F$16,$B15&gt;Input!$F$12,Input!$M$9=9),"  ",ROUND((IF(Input!$M$9=1,Input!J49,IF(Input!$M$9=2,Input!J49*Input!$M$6/100,IF(Input!$M$9=3,Input!J49*Input!$P49/100,IF(Input!$M$9=4,Input!J49*Input!J$51/100," "))))),0))</f>
        <v>  </v>
      </c>
      <c r="J15" s="178" t="str">
        <f>IF(OR(J$4&gt;Input!$F$16,$B15&gt;Input!$F$12,Input!$M$9=9),"  ",ROUND((IF(Input!$M$9=1,Input!K49,IF(Input!$M$9=2,Input!K49*Input!$M$6/100,IF(Input!$M$9=3,Input!K49*Input!$P49/100,IF(Input!$M$9=4,Input!K49*Input!K$51/100," "))))),0))</f>
        <v>  </v>
      </c>
      <c r="K15" s="178" t="str">
        <f>IF(OR(K$4&gt;Input!$F$16,$B15&gt;Input!$F$12,Input!$M$9=9),"  ",ROUND((IF(Input!$M$9=1,Input!L49,IF(Input!$M$9=2,Input!L49*Input!$M$6/100,IF(Input!$M$9=3,Input!L49*Input!$P49/100,IF(Input!$M$9=4,Input!L49*Input!L$51/100," "))))),0))</f>
        <v>  </v>
      </c>
      <c r="L15" s="178" t="str">
        <f>IF(OR(L$4&gt;Input!$F$16,$B15&gt;Input!$F$12,Input!$M$9=9),"  ",ROUND((IF(Input!$M$9=1,Input!M49,IF(Input!$M$9=2,Input!M49*Input!$M$6/100,IF(Input!$M$9=3,Input!M49*Input!$P49/100,IF(Input!$M$9=4,Input!M49*Input!M$51/100," "))))),0))</f>
        <v>  </v>
      </c>
      <c r="M15" s="178" t="str">
        <f>IF(OR(M$4&gt;Input!$F$16,$B15&gt;Input!$F$12,Input!$M$9=9),"  ",ROUND((IF(Input!$M$9=1,Input!N49,IF(Input!$M$9=2,Input!N49*Input!$M$6/100,IF(Input!$M$9=3,Input!N49*Input!$P49/100,IF(Input!$M$9=4,Input!N49*Input!N$51/100," "))))),0))</f>
        <v>  </v>
      </c>
      <c r="N15" s="179" t="str">
        <f>IF(OR(N$4&gt;Input!$F$16,$B15&gt;Input!$F$12,Input!$M$9=9),"  ",ROUND((IF(Input!$M$9=1,Input!O49,IF(Input!$M$9=2,Input!O49*Input!$M$6/100,IF(Input!$M$9=3,Input!O49*Input!$P49/100,IF(Input!$M$9=4,Input!O49*Input!O$51/100," "))))),0))</f>
        <v>  </v>
      </c>
      <c r="O15" s="180">
        <f>IF(B15&gt;Input!$F$12,"",SUM(C15:N15))</f>
        <v>0</v>
      </c>
      <c r="P15" s="14"/>
      <c r="Q15" s="14"/>
      <c r="R15" s="3"/>
    </row>
    <row r="16" spans="1:18" ht="13.5" thickBot="1">
      <c r="A16" s="315" t="s">
        <v>45</v>
      </c>
      <c r="B16" s="316">
        <v>1</v>
      </c>
      <c r="C16" s="181" t="str">
        <f>IF(OR(C$4&gt;Input!$F$16,$B16&gt;Input!$F$12,Input!$M$9=9),"  ",ROUND((IF(Input!$M$9=1,Input!D50,IF(Input!$M$9=2,Input!D50*Input!$M$6/100,IF(Input!$M$9=3,Input!D50*Input!$P50/100,IF(Input!$M$9=4,Input!D50*Input!D$51/100," "))))),0))</f>
        <v>  </v>
      </c>
      <c r="D16" s="182" t="str">
        <f>IF(OR(D$4&gt;Input!$F$16,$B16&gt;Input!$F$12,Input!$M$9=9),"  ",ROUND((IF(Input!$M$9=1,Input!E50,IF(Input!$M$9=2,Input!E50*Input!$M$6/100,IF(Input!$M$9=3,Input!E50*Input!$P50/100,IF(Input!$M$9=4,Input!E50*Input!E$51/100," "))))),0))</f>
        <v>  </v>
      </c>
      <c r="E16" s="182" t="str">
        <f>IF(OR(E$4&gt;Input!$F$16,$B16&gt;Input!$F$12,Input!$M$9=9),"  ",ROUND((IF(Input!$M$9=1,Input!F50,IF(Input!$M$9=2,Input!F50*Input!$M$6/100,IF(Input!$M$9=3,Input!F50*Input!$P50/100,IF(Input!$M$9=4,Input!F50*Input!F$51/100," "))))),0))</f>
        <v>  </v>
      </c>
      <c r="F16" s="182" t="str">
        <f>IF(OR(F$4&gt;Input!$F$16,$B16&gt;Input!$F$12,Input!$M$9=9),"  ",ROUND((IF(Input!$M$9=1,Input!G50,IF(Input!$M$9=2,Input!G50*Input!$M$6/100,IF(Input!$M$9=3,Input!G50*Input!$P50/100,IF(Input!$M$9=4,Input!G50*Input!G$51/100," "))))),0))</f>
        <v>  </v>
      </c>
      <c r="G16" s="182" t="str">
        <f>IF(OR(G$4&gt;Input!$F$16,$B16&gt;Input!$F$12,Input!$M$9=9),"  ",ROUND((IF(Input!$M$9=1,Input!H50,IF(Input!$M$9=2,Input!H50*Input!$M$6/100,IF(Input!$M$9=3,Input!H50*Input!$P50/100,IF(Input!$M$9=4,Input!H50*Input!H$51/100," "))))),0))</f>
        <v>  </v>
      </c>
      <c r="H16" s="182" t="str">
        <f>IF(OR(H$4&gt;Input!$F$16,$B16&gt;Input!$F$12,Input!$M$9=9),"  ",ROUND((IF(Input!$M$9=1,Input!I50,IF(Input!$M$9=2,Input!I50*Input!$M$6/100,IF(Input!$M$9=3,Input!I50*Input!$P50/100,IF(Input!$M$9=4,Input!I50*Input!I$51/100," "))))),0))</f>
        <v>  </v>
      </c>
      <c r="I16" s="182" t="str">
        <f>IF(OR(I$4&gt;Input!$F$16,$B16&gt;Input!$F$12,Input!$M$9=9),"  ",ROUND((IF(Input!$M$9=1,Input!J50,IF(Input!$M$9=2,Input!J50*Input!$M$6/100,IF(Input!$M$9=3,Input!J50*Input!$P50/100,IF(Input!$M$9=4,Input!J50*Input!J$51/100," "))))),0))</f>
        <v>  </v>
      </c>
      <c r="J16" s="182" t="str">
        <f>IF(OR(J$4&gt;Input!$F$16,$B16&gt;Input!$F$12,Input!$M$9=9),"  ",ROUND((IF(Input!$M$9=1,Input!K50,IF(Input!$M$9=2,Input!K50*Input!$M$6/100,IF(Input!$M$9=3,Input!K50*Input!$P50/100,IF(Input!$M$9=4,Input!K50*Input!K$51/100," "))))),0))</f>
        <v>  </v>
      </c>
      <c r="K16" s="182" t="str">
        <f>IF(OR(K$4&gt;Input!$F$16,$B16&gt;Input!$F$12,Input!$M$9=9),"  ",ROUND((IF(Input!$M$9=1,Input!L50,IF(Input!$M$9=2,Input!L50*Input!$M$6/100,IF(Input!$M$9=3,Input!L50*Input!$P50/100,IF(Input!$M$9=4,Input!L50*Input!L$51/100," "))))),0))</f>
        <v>  </v>
      </c>
      <c r="L16" s="182" t="str">
        <f>IF(OR(L$4&gt;Input!$F$16,$B16&gt;Input!$F$12,Input!$M$9=9),"  ",ROUND((IF(Input!$M$9=1,Input!M50,IF(Input!$M$9=2,Input!M50*Input!$M$6/100,IF(Input!$M$9=3,Input!M50*Input!$P50/100,IF(Input!$M$9=4,Input!M50*Input!M$51/100," "))))),0))</f>
        <v>  </v>
      </c>
      <c r="M16" s="182" t="str">
        <f>IF(OR(M$4&gt;Input!$F$16,$B16&gt;Input!$F$12,Input!$M$9=9),"  ",ROUND((IF(Input!$M$9=1,Input!N50,IF(Input!$M$9=2,Input!N50*Input!$M$6/100,IF(Input!$M$9=3,Input!N50*Input!$P50/100,IF(Input!$M$9=4,Input!N50*Input!N$51/100," "))))),0))</f>
        <v>  </v>
      </c>
      <c r="N16" s="183" t="str">
        <f>IF(OR(N$4&gt;Input!$F$16,$B16&gt;Input!$F$12,Input!$M$9=9),"  ",ROUND((IF(Input!$M$9=1,Input!O50,IF(Input!$M$9=2,Input!O50*Input!$M$6/100,IF(Input!$M$9=3,Input!O50*Input!$P50/100,IF(Input!$M$9=4,Input!O50*Input!O$51/100," "))))),0))</f>
        <v>  </v>
      </c>
      <c r="O16" s="184">
        <f>IF(B16&gt;Input!$F$12,"",SUM(C16:N16))</f>
        <v>0</v>
      </c>
      <c r="P16" s="14"/>
      <c r="Q16" s="14"/>
      <c r="R16" s="3"/>
    </row>
    <row r="17" spans="1:18" ht="13.5" thickBot="1">
      <c r="A17" s="315" t="s">
        <v>45</v>
      </c>
      <c r="B17" s="317" t="s">
        <v>0</v>
      </c>
      <c r="C17" s="185">
        <f>IF(C4&gt;Input!$F$16,"",SUM(C5:C16))</f>
        <v>0</v>
      </c>
      <c r="D17" s="186">
        <f>IF(D4&gt;Input!$F$16,"",SUM(D5:D16))</f>
        <v>0</v>
      </c>
      <c r="E17" s="186">
        <f>IF(E4&gt;Input!$F$16,"",SUM(E5:E16))</f>
        <v>0</v>
      </c>
      <c r="F17" s="186">
        <f>IF(F4&gt;Input!$F$16,"",SUM(F5:F16))</f>
        <v>0</v>
      </c>
      <c r="G17" s="186">
        <f>IF(G4&gt;Input!$F$16,"",SUM(G5:G16))</f>
        <v>0</v>
      </c>
      <c r="H17" s="186">
        <f>IF(H4&gt;Input!$F$16,"",SUM(H5:H16))</f>
        <v>0</v>
      </c>
      <c r="I17" s="186">
        <f>IF(I4&gt;Input!$F$16,"",SUM(I5:I16))</f>
        <v>0</v>
      </c>
      <c r="J17" s="186">
        <f>IF(J4&gt;Input!$F$16,"",SUM(J5:J16))</f>
        <v>0</v>
      </c>
      <c r="K17" s="186">
        <f>IF(K4&gt;Input!$F$16,"",SUM(K5:K16))</f>
      </c>
      <c r="L17" s="186">
        <f>IF(L4&gt;Input!$F$16,"",SUM(L5:L16))</f>
      </c>
      <c r="M17" s="186">
        <f>IF(M4&gt;Input!$F$16,"",SUM(M5:M16))</f>
      </c>
      <c r="N17" s="187">
        <f>IF(N4&gt;Input!$F$16,"",SUM(N5:N16))</f>
      </c>
      <c r="O17" s="188">
        <f>IF(SUM(C17:N17)=SUM(O5:O16),SUM(C17:N17),"")</f>
        <v>0</v>
      </c>
      <c r="P17" s="14"/>
      <c r="Q17" s="14"/>
      <c r="R17" s="3"/>
    </row>
    <row r="18" spans="1:18" ht="12.75">
      <c r="A18" s="318" t="s">
        <v>18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4"/>
      <c r="R18" s="3"/>
    </row>
    <row r="19" spans="1:17" ht="13.5" thickBot="1">
      <c r="A19" s="14"/>
      <c r="B19" s="319" t="s">
        <v>9</v>
      </c>
      <c r="C19" s="14"/>
      <c r="D19" s="14"/>
      <c r="E19" s="14"/>
      <c r="F19" s="14"/>
      <c r="G19" s="306" t="s">
        <v>19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3.5" thickBot="1">
      <c r="A20" s="14"/>
      <c r="B20" s="307"/>
      <c r="C20" s="308">
        <v>1</v>
      </c>
      <c r="D20" s="309">
        <f aca="true" t="shared" si="1" ref="D20:N20">C20+1</f>
        <v>2</v>
      </c>
      <c r="E20" s="309">
        <f t="shared" si="1"/>
        <v>3</v>
      </c>
      <c r="F20" s="309">
        <f t="shared" si="1"/>
        <v>4</v>
      </c>
      <c r="G20" s="309">
        <f t="shared" si="1"/>
        <v>5</v>
      </c>
      <c r="H20" s="309">
        <f t="shared" si="1"/>
        <v>6</v>
      </c>
      <c r="I20" s="309">
        <f t="shared" si="1"/>
        <v>7</v>
      </c>
      <c r="J20" s="309">
        <f t="shared" si="1"/>
        <v>8</v>
      </c>
      <c r="K20" s="309">
        <f t="shared" si="1"/>
        <v>9</v>
      </c>
      <c r="L20" s="309">
        <f t="shared" si="1"/>
        <v>10</v>
      </c>
      <c r="M20" s="309">
        <f t="shared" si="1"/>
        <v>11</v>
      </c>
      <c r="N20" s="310">
        <f t="shared" si="1"/>
        <v>12</v>
      </c>
      <c r="O20" s="311" t="s">
        <v>0</v>
      </c>
      <c r="P20" s="14"/>
      <c r="Q20" s="14"/>
    </row>
    <row r="21" spans="1:17" ht="12.75">
      <c r="A21" s="260">
        <f>IF(A$8=0,IF(AND(A22+0.5&lt;A$5,MAX(A22:A$32)&lt;A$5),A22+1,0),IF(A22-0.5&gt;A$6,A22-1,0))</f>
        <v>0</v>
      </c>
      <c r="B21" s="312">
        <v>12</v>
      </c>
      <c r="C21" s="173">
        <f>IF(OR($B21&gt;Input!$F$12,C$20&gt;Input!$F$16),0,Frequencies!C5)</f>
        <v>0</v>
      </c>
      <c r="D21" s="174">
        <f>IF(OR($B21&gt;Input!$F$12,D$20&gt;Input!$F$16),0,Frequencies!D5)</f>
        <v>0</v>
      </c>
      <c r="E21" s="174">
        <f>IF(OR($B21&gt;Input!$F$12,E$20&gt;Input!$F$16),0,Frequencies!E5)</f>
        <v>0</v>
      </c>
      <c r="F21" s="174">
        <f>IF(OR($B21&gt;Input!$F$12,F$20&gt;Input!$F$16),0,Frequencies!F5)</f>
        <v>0</v>
      </c>
      <c r="G21" s="174">
        <f>IF(OR($B21&gt;Input!$F$12,G$20&gt;Input!$F$16),0,Frequencies!G5)</f>
        <v>0</v>
      </c>
      <c r="H21" s="174">
        <f>IF(OR($B21&gt;Input!$F$12,H$20&gt;Input!$F$16),0,Frequencies!H5)</f>
        <v>0</v>
      </c>
      <c r="I21" s="174">
        <f>IF(OR($B21&gt;Input!$F$12,I$20&gt;Input!$F$16),0,Frequencies!I5)</f>
        <v>0</v>
      </c>
      <c r="J21" s="174">
        <f>IF(OR($B21&gt;Input!$F$12,J$20&gt;Input!$F$16),0,Frequencies!J5)</f>
        <v>0</v>
      </c>
      <c r="K21" s="174">
        <f>IF(OR($B21&gt;Input!$F$12,K$20&gt;Input!$F$16),0,Frequencies!K5)</f>
        <v>0</v>
      </c>
      <c r="L21" s="174">
        <f>IF(OR($B21&gt;Input!$F$12,L$20&gt;Input!$F$16),0,Frequencies!L5)</f>
        <v>0</v>
      </c>
      <c r="M21" s="174">
        <f>IF(OR($B21&gt;Input!$F$12,M$20&gt;Input!$F$16),0,Frequencies!M5)</f>
        <v>0</v>
      </c>
      <c r="N21" s="175">
        <f>IF(OR($B21&gt;Input!$F$12,N$20&gt;Input!$F$16),0,Frequencies!N5)</f>
        <v>0</v>
      </c>
      <c r="O21" s="189">
        <f aca="true" t="shared" si="2" ref="O21:O32">SUM(C21:N21)</f>
        <v>0</v>
      </c>
      <c r="P21" s="14"/>
      <c r="Q21" s="14"/>
    </row>
    <row r="22" spans="1:17" ht="12.75">
      <c r="A22" s="260">
        <f>IF(A$8=0,IF(AND(A23+0.5&lt;A$5,MAX(A23:A$32)&lt;A$5),A23+1,0),IF(A23-0.5&gt;A$6,A23-1,0))</f>
        <v>0</v>
      </c>
      <c r="B22" s="313">
        <v>11</v>
      </c>
      <c r="C22" s="177">
        <f>IF(OR($B22&gt;Input!$F$12,C$20&gt;Input!$F$16),0,Frequencies!C6)</f>
        <v>0</v>
      </c>
      <c r="D22" s="178">
        <f>IF(OR($B22&gt;Input!$F$12,D$20&gt;Input!$F$16),0,Frequencies!D6)</f>
        <v>0</v>
      </c>
      <c r="E22" s="178">
        <f>IF(OR($B22&gt;Input!$F$12,E$20&gt;Input!$F$16),0,Frequencies!E6)</f>
        <v>0</v>
      </c>
      <c r="F22" s="178">
        <f>IF(OR($B22&gt;Input!$F$12,F$20&gt;Input!$F$16),0,Frequencies!F6)</f>
        <v>0</v>
      </c>
      <c r="G22" s="178">
        <f>IF(OR($B22&gt;Input!$F$12,G$20&gt;Input!$F$16),0,Frequencies!G6)</f>
        <v>0</v>
      </c>
      <c r="H22" s="178">
        <f>IF(OR($B22&gt;Input!$F$12,H$20&gt;Input!$F$16),0,Frequencies!H6)</f>
        <v>0</v>
      </c>
      <c r="I22" s="178">
        <f>IF(OR($B22&gt;Input!$F$12,I$20&gt;Input!$F$16),0,Frequencies!I6)</f>
        <v>0</v>
      </c>
      <c r="J22" s="178">
        <f>IF(OR($B22&gt;Input!$F$12,J$20&gt;Input!$F$16),0,Frequencies!J6)</f>
        <v>0</v>
      </c>
      <c r="K22" s="178">
        <f>IF(OR($B22&gt;Input!$F$12,K$20&gt;Input!$F$16),0,Frequencies!K6)</f>
        <v>0</v>
      </c>
      <c r="L22" s="178">
        <f>IF(OR($B22&gt;Input!$F$12,L$20&gt;Input!$F$16),0,Frequencies!L6)</f>
        <v>0</v>
      </c>
      <c r="M22" s="178">
        <f>IF(OR($B22&gt;Input!$F$12,M$20&gt;Input!$F$16),0,Frequencies!M6)</f>
        <v>0</v>
      </c>
      <c r="N22" s="179">
        <f>IF(OR($B22&gt;Input!$F$12,N$20&gt;Input!$F$16),0,Frequencies!N6)</f>
        <v>0</v>
      </c>
      <c r="O22" s="190">
        <f t="shared" si="2"/>
        <v>0</v>
      </c>
      <c r="P22" s="14"/>
      <c r="Q22" s="14"/>
    </row>
    <row r="23" spans="1:17" ht="12.75">
      <c r="A23" s="260">
        <f>IF(A$8=0,IF(AND(A24+0.5&lt;A$5,MAX(A24:A$32)&lt;A$5),A24+1,0),IF(A24-0.5&gt;A$6,A24-1,0))</f>
        <v>0</v>
      </c>
      <c r="B23" s="313">
        <v>10</v>
      </c>
      <c r="C23" s="177">
        <f>IF(OR($B23&gt;Input!$F$12,C$20&gt;Input!$F$16),0,Frequencies!C7)</f>
        <v>0</v>
      </c>
      <c r="D23" s="178">
        <f>IF(OR($B23&gt;Input!$F$12,D$20&gt;Input!$F$16),0,Frequencies!D7)</f>
        <v>0</v>
      </c>
      <c r="E23" s="178">
        <f>IF(OR($B23&gt;Input!$F$12,E$20&gt;Input!$F$16),0,Frequencies!E7)</f>
        <v>0</v>
      </c>
      <c r="F23" s="178">
        <f>IF(OR($B23&gt;Input!$F$12,F$20&gt;Input!$F$16),0,Frequencies!F7)</f>
        <v>0</v>
      </c>
      <c r="G23" s="178">
        <f>IF(OR($B23&gt;Input!$F$12,G$20&gt;Input!$F$16),0,Frequencies!G7)</f>
        <v>0</v>
      </c>
      <c r="H23" s="178">
        <f>IF(OR($B23&gt;Input!$F$12,H$20&gt;Input!$F$16),0,Frequencies!H7)</f>
        <v>0</v>
      </c>
      <c r="I23" s="178">
        <f>IF(OR($B23&gt;Input!$F$12,I$20&gt;Input!$F$16),0,Frequencies!I7)</f>
        <v>0</v>
      </c>
      <c r="J23" s="178">
        <f>IF(OR($B23&gt;Input!$F$12,J$20&gt;Input!$F$16),0,Frequencies!J7)</f>
        <v>0</v>
      </c>
      <c r="K23" s="178">
        <f>IF(OR($B23&gt;Input!$F$12,K$20&gt;Input!$F$16),0,Frequencies!K7)</f>
        <v>0</v>
      </c>
      <c r="L23" s="178">
        <f>IF(OR($B23&gt;Input!$F$12,L$20&gt;Input!$F$16),0,Frequencies!L7)</f>
        <v>0</v>
      </c>
      <c r="M23" s="178">
        <f>IF(OR($B23&gt;Input!$F$12,M$20&gt;Input!$F$16),0,Frequencies!M7)</f>
        <v>0</v>
      </c>
      <c r="N23" s="179">
        <f>IF(OR($B23&gt;Input!$F$12,N$20&gt;Input!$F$16),0,Frequencies!N7)</f>
        <v>0</v>
      </c>
      <c r="O23" s="190">
        <f t="shared" si="2"/>
        <v>0</v>
      </c>
      <c r="P23" s="14"/>
      <c r="Q23" s="14"/>
    </row>
    <row r="24" spans="1:17" ht="12.75">
      <c r="A24" s="260">
        <f>IF(A$8=0,IF(AND(A25+0.5&lt;A$5,MAX(A25:A$32)&lt;A$5),A25+1,0),IF(A25-0.5&gt;A$6,A25-1,0))</f>
        <v>0</v>
      </c>
      <c r="B24" s="313">
        <v>9</v>
      </c>
      <c r="C24" s="177">
        <f>IF(OR($B24&gt;Input!$F$12,C$20&gt;Input!$F$16),0,Frequencies!C8)</f>
        <v>0</v>
      </c>
      <c r="D24" s="178">
        <f>IF(OR($B24&gt;Input!$F$12,D$20&gt;Input!$F$16),0,Frequencies!D8)</f>
        <v>0</v>
      </c>
      <c r="E24" s="178">
        <f>IF(OR($B24&gt;Input!$F$12,E$20&gt;Input!$F$16),0,Frequencies!E8)</f>
        <v>0</v>
      </c>
      <c r="F24" s="178">
        <f>IF(OR($B24&gt;Input!$F$12,F$20&gt;Input!$F$16),0,Frequencies!F8)</f>
        <v>0</v>
      </c>
      <c r="G24" s="178">
        <f>IF(OR($B24&gt;Input!$F$12,G$20&gt;Input!$F$16),0,Frequencies!G8)</f>
        <v>0</v>
      </c>
      <c r="H24" s="178">
        <f>IF(OR($B24&gt;Input!$F$12,H$20&gt;Input!$F$16),0,Frequencies!H8)</f>
        <v>0</v>
      </c>
      <c r="I24" s="178">
        <f>IF(OR($B24&gt;Input!$F$12,I$20&gt;Input!$F$16),0,Frequencies!I8)</f>
        <v>0</v>
      </c>
      <c r="J24" s="178">
        <f>IF(OR($B24&gt;Input!$F$12,J$20&gt;Input!$F$16),0,Frequencies!J8)</f>
        <v>0</v>
      </c>
      <c r="K24" s="178">
        <f>IF(OR($B24&gt;Input!$F$12,K$20&gt;Input!$F$16),0,Frequencies!K8)</f>
        <v>0</v>
      </c>
      <c r="L24" s="178">
        <f>IF(OR($B24&gt;Input!$F$12,L$20&gt;Input!$F$16),0,Frequencies!L8)</f>
        <v>0</v>
      </c>
      <c r="M24" s="178">
        <f>IF(OR($B24&gt;Input!$F$12,M$20&gt;Input!$F$16),0,Frequencies!M8)</f>
        <v>0</v>
      </c>
      <c r="N24" s="179">
        <f>IF(OR($B24&gt;Input!$F$12,N$20&gt;Input!$F$16),0,Frequencies!N8)</f>
        <v>0</v>
      </c>
      <c r="O24" s="190">
        <f t="shared" si="2"/>
        <v>0</v>
      </c>
      <c r="P24" s="14"/>
      <c r="Q24" s="14"/>
    </row>
    <row r="25" spans="1:17" ht="12.75">
      <c r="A25" s="260">
        <f>IF(A$8=0,IF(AND(A26+0.5&lt;A$5,MAX(A26:A$32)&lt;A$5),A26+1,0),IF(A26-0.5&gt;A$6,A26-1,0))</f>
        <v>0</v>
      </c>
      <c r="B25" s="313">
        <v>8</v>
      </c>
      <c r="C25" s="177">
        <f>IF(OR($B25&gt;Input!$F$12,C$20&gt;Input!$F$16),0,Frequencies!C9)</f>
        <v>0</v>
      </c>
      <c r="D25" s="178">
        <f>IF(OR($B25&gt;Input!$F$12,D$20&gt;Input!$F$16),0,Frequencies!D9)</f>
        <v>0</v>
      </c>
      <c r="E25" s="178">
        <f>IF(OR($B25&gt;Input!$F$12,E$20&gt;Input!$F$16),0,Frequencies!E9)</f>
        <v>0</v>
      </c>
      <c r="F25" s="178">
        <f>IF(OR($B25&gt;Input!$F$12,F$20&gt;Input!$F$16),0,Frequencies!F9)</f>
        <v>0</v>
      </c>
      <c r="G25" s="178">
        <f>IF(OR($B25&gt;Input!$F$12,G$20&gt;Input!$F$16),0,Frequencies!G9)</f>
        <v>0</v>
      </c>
      <c r="H25" s="178">
        <f>IF(OR($B25&gt;Input!$F$12,H$20&gt;Input!$F$16),0,Frequencies!H9)</f>
        <v>0</v>
      </c>
      <c r="I25" s="178">
        <f>IF(OR($B25&gt;Input!$F$12,I$20&gt;Input!$F$16),0,Frequencies!I9)</f>
        <v>0</v>
      </c>
      <c r="J25" s="178">
        <f>IF(OR($B25&gt;Input!$F$12,J$20&gt;Input!$F$16),0,Frequencies!J9)</f>
        <v>0</v>
      </c>
      <c r="K25" s="178">
        <f>IF(OR($B25&gt;Input!$F$12,K$20&gt;Input!$F$16),0,Frequencies!K9)</f>
        <v>0</v>
      </c>
      <c r="L25" s="178">
        <f>IF(OR($B25&gt;Input!$F$12,L$20&gt;Input!$F$16),0,Frequencies!L9)</f>
        <v>0</v>
      </c>
      <c r="M25" s="178">
        <f>IF(OR($B25&gt;Input!$F$12,M$20&gt;Input!$F$16),0,Frequencies!M9)</f>
        <v>0</v>
      </c>
      <c r="N25" s="179">
        <f>IF(OR($B25&gt;Input!$F$12,N$20&gt;Input!$F$16),0,Frequencies!N9)</f>
        <v>0</v>
      </c>
      <c r="O25" s="190">
        <f t="shared" si="2"/>
        <v>0</v>
      </c>
      <c r="P25" s="14"/>
      <c r="Q25" s="14"/>
    </row>
    <row r="26" spans="1:17" ht="12.75">
      <c r="A26" s="260">
        <f>IF(A$8=0,IF(AND(A27+0.5&lt;A$5,MAX(A27:A$32)&lt;A$5),A27+1,0),IF(A27-0.5&gt;A$6,A27-1,0))</f>
        <v>7</v>
      </c>
      <c r="B26" s="313">
        <v>7</v>
      </c>
      <c r="C26" s="177" t="str">
        <f>IF(OR($B26&gt;Input!$F$12,C$20&gt;Input!$F$16),0,Frequencies!C10)</f>
        <v>  </v>
      </c>
      <c r="D26" s="178" t="str">
        <f>IF(OR($B26&gt;Input!$F$12,D$20&gt;Input!$F$16),0,Frequencies!D10)</f>
        <v>  </v>
      </c>
      <c r="E26" s="178" t="str">
        <f>IF(OR($B26&gt;Input!$F$12,E$20&gt;Input!$F$16),0,Frequencies!E10)</f>
        <v>  </v>
      </c>
      <c r="F26" s="178" t="str">
        <f>IF(OR($B26&gt;Input!$F$12,F$20&gt;Input!$F$16),0,Frequencies!F10)</f>
        <v>  </v>
      </c>
      <c r="G26" s="178" t="str">
        <f>IF(OR($B26&gt;Input!$F$12,G$20&gt;Input!$F$16),0,Frequencies!G10)</f>
        <v>  </v>
      </c>
      <c r="H26" s="178" t="str">
        <f>IF(OR($B26&gt;Input!$F$12,H$20&gt;Input!$F$16),0,Frequencies!H10)</f>
        <v>  </v>
      </c>
      <c r="I26" s="178" t="str">
        <f>IF(OR($B26&gt;Input!$F$12,I$20&gt;Input!$F$16),0,Frequencies!I10)</f>
        <v>  </v>
      </c>
      <c r="J26" s="178" t="str">
        <f>IF(OR($B26&gt;Input!$F$12,J$20&gt;Input!$F$16),0,Frequencies!J10)</f>
        <v>  </v>
      </c>
      <c r="K26" s="178">
        <f>IF(OR($B26&gt;Input!$F$12,K$20&gt;Input!$F$16),0,Frequencies!K10)</f>
        <v>0</v>
      </c>
      <c r="L26" s="178">
        <f>IF(OR($B26&gt;Input!$F$12,L$20&gt;Input!$F$16),0,Frequencies!L10)</f>
        <v>0</v>
      </c>
      <c r="M26" s="178">
        <f>IF(OR($B26&gt;Input!$F$12,M$20&gt;Input!$F$16),0,Frequencies!M10)</f>
        <v>0</v>
      </c>
      <c r="N26" s="179">
        <f>IF(OR($B26&gt;Input!$F$12,N$20&gt;Input!$F$16),0,Frequencies!N10)</f>
        <v>0</v>
      </c>
      <c r="O26" s="190">
        <f t="shared" si="2"/>
        <v>0</v>
      </c>
      <c r="P26" s="14"/>
      <c r="Q26" s="14"/>
    </row>
    <row r="27" spans="1:17" ht="12.75">
      <c r="A27" s="260">
        <f>IF(A$8=0,IF(AND(A28+0.5&lt;A$5,MAX(A28:A$32)&lt;A$5),A28+1,0),IF(A28-0.5&gt;A$6,A28-1,0))</f>
        <v>6</v>
      </c>
      <c r="B27" s="313">
        <v>6</v>
      </c>
      <c r="C27" s="177" t="str">
        <f>IF(OR($B27&gt;Input!$F$12,C$20&gt;Input!$F$16),0,Frequencies!C11)</f>
        <v>  </v>
      </c>
      <c r="D27" s="178" t="str">
        <f>IF(OR($B27&gt;Input!$F$12,D$20&gt;Input!$F$16),0,Frequencies!D11)</f>
        <v>  </v>
      </c>
      <c r="E27" s="178" t="str">
        <f>IF(OR($B27&gt;Input!$F$12,E$20&gt;Input!$F$16),0,Frequencies!E11)</f>
        <v>  </v>
      </c>
      <c r="F27" s="178" t="str">
        <f>IF(OR($B27&gt;Input!$F$12,F$20&gt;Input!$F$16),0,Frequencies!F11)</f>
        <v>  </v>
      </c>
      <c r="G27" s="178" t="str">
        <f>IF(OR($B27&gt;Input!$F$12,G$20&gt;Input!$F$16),0,Frequencies!G11)</f>
        <v>  </v>
      </c>
      <c r="H27" s="178" t="str">
        <f>IF(OR($B27&gt;Input!$F$12,H$20&gt;Input!$F$16),0,Frequencies!H11)</f>
        <v>  </v>
      </c>
      <c r="I27" s="178" t="str">
        <f>IF(OR($B27&gt;Input!$F$12,I$20&gt;Input!$F$16),0,Frequencies!I11)</f>
        <v>  </v>
      </c>
      <c r="J27" s="178" t="str">
        <f>IF(OR($B27&gt;Input!$F$12,J$20&gt;Input!$F$16),0,Frequencies!J11)</f>
        <v>  </v>
      </c>
      <c r="K27" s="178">
        <f>IF(OR($B27&gt;Input!$F$12,K$20&gt;Input!$F$16),0,Frequencies!K11)</f>
        <v>0</v>
      </c>
      <c r="L27" s="178">
        <f>IF(OR($B27&gt;Input!$F$12,L$20&gt;Input!$F$16),0,Frequencies!L11)</f>
        <v>0</v>
      </c>
      <c r="M27" s="178">
        <f>IF(OR($B27&gt;Input!$F$12,M$20&gt;Input!$F$16),0,Frequencies!M11)</f>
        <v>0</v>
      </c>
      <c r="N27" s="179">
        <f>IF(OR($B27&gt;Input!$F$12,N$20&gt;Input!$F$16),0,Frequencies!N11)</f>
        <v>0</v>
      </c>
      <c r="O27" s="190">
        <f t="shared" si="2"/>
        <v>0</v>
      </c>
      <c r="P27" s="14"/>
      <c r="Q27" s="14"/>
    </row>
    <row r="28" spans="1:17" ht="12.75">
      <c r="A28" s="260">
        <f>IF(A$8=0,IF(AND(A29+0.5&lt;A$5,MAX(A29:A$32)&lt;A$5),A29+1,0),IF(A29-0.5&gt;A$6,A29-1,0))</f>
        <v>5</v>
      </c>
      <c r="B28" s="313">
        <v>5</v>
      </c>
      <c r="C28" s="177" t="str">
        <f>IF(OR($B28&gt;Input!$F$12,C$20&gt;Input!$F$16),0,Frequencies!C12)</f>
        <v>  </v>
      </c>
      <c r="D28" s="178" t="str">
        <f>IF(OR($B28&gt;Input!$F$12,D$20&gt;Input!$F$16),0,Frequencies!D12)</f>
        <v>  </v>
      </c>
      <c r="E28" s="178" t="str">
        <f>IF(OR($B28&gt;Input!$F$12,E$20&gt;Input!$F$16),0,Frequencies!E12)</f>
        <v>  </v>
      </c>
      <c r="F28" s="178" t="str">
        <f>IF(OR($B28&gt;Input!$F$12,F$20&gt;Input!$F$16),0,Frequencies!F12)</f>
        <v>  </v>
      </c>
      <c r="G28" s="178" t="str">
        <f>IF(OR($B28&gt;Input!$F$12,G$20&gt;Input!$F$16),0,Frequencies!G12)</f>
        <v>  </v>
      </c>
      <c r="H28" s="178" t="str">
        <f>IF(OR($B28&gt;Input!$F$12,H$20&gt;Input!$F$16),0,Frequencies!H12)</f>
        <v>  </v>
      </c>
      <c r="I28" s="178" t="str">
        <f>IF(OR($B28&gt;Input!$F$12,I$20&gt;Input!$F$16),0,Frequencies!I12)</f>
        <v>  </v>
      </c>
      <c r="J28" s="178" t="str">
        <f>IF(OR($B28&gt;Input!$F$12,J$20&gt;Input!$F$16),0,Frequencies!J12)</f>
        <v>  </v>
      </c>
      <c r="K28" s="178">
        <f>IF(OR($B28&gt;Input!$F$12,K$20&gt;Input!$F$16),0,Frequencies!K12)</f>
        <v>0</v>
      </c>
      <c r="L28" s="178">
        <f>IF(OR($B28&gt;Input!$F$12,L$20&gt;Input!$F$16),0,Frequencies!L12)</f>
        <v>0</v>
      </c>
      <c r="M28" s="178">
        <f>IF(OR($B28&gt;Input!$F$12,M$20&gt;Input!$F$16),0,Frequencies!M12)</f>
        <v>0</v>
      </c>
      <c r="N28" s="179">
        <f>IF(OR($B28&gt;Input!$F$12,N$20&gt;Input!$F$16),0,Frequencies!N12)</f>
        <v>0</v>
      </c>
      <c r="O28" s="190">
        <f t="shared" si="2"/>
        <v>0</v>
      </c>
      <c r="P28" s="14"/>
      <c r="Q28" s="14"/>
    </row>
    <row r="29" spans="1:17" ht="12.75">
      <c r="A29" s="260">
        <f>IF(A$8=0,IF(AND(A30+0.5&lt;A$5,MAX(A30:A$32)&lt;A$5),A30+1,0),IF(A30-0.5&gt;A$6,A30-1,0))</f>
        <v>4</v>
      </c>
      <c r="B29" s="313">
        <v>4</v>
      </c>
      <c r="C29" s="177" t="str">
        <f>IF(OR($B29&gt;Input!$F$12,C$20&gt;Input!$F$16),0,Frequencies!C13)</f>
        <v>  </v>
      </c>
      <c r="D29" s="178" t="str">
        <f>IF(OR($B29&gt;Input!$F$12,D$20&gt;Input!$F$16),0,Frequencies!D13)</f>
        <v>  </v>
      </c>
      <c r="E29" s="178" t="str">
        <f>IF(OR($B29&gt;Input!$F$12,E$20&gt;Input!$F$16),0,Frequencies!E13)</f>
        <v>  </v>
      </c>
      <c r="F29" s="178" t="str">
        <f>IF(OR($B29&gt;Input!$F$12,F$20&gt;Input!$F$16),0,Frequencies!F13)</f>
        <v>  </v>
      </c>
      <c r="G29" s="178" t="str">
        <f>IF(OR($B29&gt;Input!$F$12,G$20&gt;Input!$F$16),0,Frequencies!G13)</f>
        <v>  </v>
      </c>
      <c r="H29" s="178" t="str">
        <f>IF(OR($B29&gt;Input!$F$12,H$20&gt;Input!$F$16),0,Frequencies!H13)</f>
        <v>  </v>
      </c>
      <c r="I29" s="178" t="str">
        <f>IF(OR($B29&gt;Input!$F$12,I$20&gt;Input!$F$16),0,Frequencies!I13)</f>
        <v>  </v>
      </c>
      <c r="J29" s="178" t="str">
        <f>IF(OR($B29&gt;Input!$F$12,J$20&gt;Input!$F$16),0,Frequencies!J13)</f>
        <v>  </v>
      </c>
      <c r="K29" s="178">
        <f>IF(OR($B29&gt;Input!$F$12,K$20&gt;Input!$F$16),0,Frequencies!K13)</f>
        <v>0</v>
      </c>
      <c r="L29" s="178">
        <f>IF(OR($B29&gt;Input!$F$12,L$20&gt;Input!$F$16),0,Frequencies!L13)</f>
        <v>0</v>
      </c>
      <c r="M29" s="178">
        <f>IF(OR($B29&gt;Input!$F$12,M$20&gt;Input!$F$16),0,Frequencies!M13)</f>
        <v>0</v>
      </c>
      <c r="N29" s="179">
        <f>IF(OR($B29&gt;Input!$F$12,N$20&gt;Input!$F$16),0,Frequencies!N13)</f>
        <v>0</v>
      </c>
      <c r="O29" s="190">
        <f t="shared" si="2"/>
        <v>0</v>
      </c>
      <c r="P29" s="14"/>
      <c r="Q29" s="14"/>
    </row>
    <row r="30" spans="1:17" ht="12.75">
      <c r="A30" s="260">
        <f>IF(A$8=0,IF(AND(A31+0.5&lt;A$5,MAX(A31:A$32)&lt;A$5),A31+1,0),IF(A31-0.5&gt;A$6,A31-1,0))</f>
        <v>3</v>
      </c>
      <c r="B30" s="313">
        <v>3</v>
      </c>
      <c r="C30" s="177" t="str">
        <f>IF(OR($B30&gt;Input!$F$12,C$20&gt;Input!$F$16),0,Frequencies!C14)</f>
        <v>  </v>
      </c>
      <c r="D30" s="178" t="str">
        <f>IF(OR($B30&gt;Input!$F$12,D$20&gt;Input!$F$16),0,Frequencies!D14)</f>
        <v>  </v>
      </c>
      <c r="E30" s="178" t="str">
        <f>IF(OR($B30&gt;Input!$F$12,E$20&gt;Input!$F$16),0,Frequencies!E14)</f>
        <v>  </v>
      </c>
      <c r="F30" s="178" t="str">
        <f>IF(OR($B30&gt;Input!$F$12,F$20&gt;Input!$F$16),0,Frequencies!F14)</f>
        <v>  </v>
      </c>
      <c r="G30" s="178" t="str">
        <f>IF(OR($B30&gt;Input!$F$12,G$20&gt;Input!$F$16),0,Frequencies!G14)</f>
        <v>  </v>
      </c>
      <c r="H30" s="178" t="str">
        <f>IF(OR($B30&gt;Input!$F$12,H$20&gt;Input!$F$16),0,Frequencies!H14)</f>
        <v>  </v>
      </c>
      <c r="I30" s="178" t="str">
        <f>IF(OR($B30&gt;Input!$F$12,I$20&gt;Input!$F$16),0,Frequencies!I14)</f>
        <v>  </v>
      </c>
      <c r="J30" s="178" t="str">
        <f>IF(OR($B30&gt;Input!$F$12,J$20&gt;Input!$F$16),0,Frequencies!J14)</f>
        <v>  </v>
      </c>
      <c r="K30" s="178">
        <f>IF(OR($B30&gt;Input!$F$12,K$20&gt;Input!$F$16),0,Frequencies!K14)</f>
        <v>0</v>
      </c>
      <c r="L30" s="178">
        <f>IF(OR($B30&gt;Input!$F$12,L$20&gt;Input!$F$16),0,Frequencies!L14)</f>
        <v>0</v>
      </c>
      <c r="M30" s="178">
        <f>IF(OR($B30&gt;Input!$F$12,M$20&gt;Input!$F$16),0,Frequencies!M14)</f>
        <v>0</v>
      </c>
      <c r="N30" s="179">
        <f>IF(OR($B30&gt;Input!$F$12,N$20&gt;Input!$F$16),0,Frequencies!N14)</f>
        <v>0</v>
      </c>
      <c r="O30" s="190">
        <f t="shared" si="2"/>
        <v>0</v>
      </c>
      <c r="P30" s="14"/>
      <c r="Q30" s="14"/>
    </row>
    <row r="31" spans="1:17" ht="12.75">
      <c r="A31" s="260">
        <f>IF(A$8=0,IF(AND(A32+0.5&lt;A$5,MAX(A32:A$32)&lt;A$5),A32+1,0),IF(A32-0.5&gt;A$6,A32-1,0))</f>
        <v>2</v>
      </c>
      <c r="B31" s="313">
        <v>2</v>
      </c>
      <c r="C31" s="177" t="str">
        <f>IF(OR($B31&gt;Input!$F$12,C$20&gt;Input!$F$16),0,Frequencies!C15)</f>
        <v>  </v>
      </c>
      <c r="D31" s="178" t="str">
        <f>IF(OR($B31&gt;Input!$F$12,D$20&gt;Input!$F$16),0,Frequencies!D15)</f>
        <v>  </v>
      </c>
      <c r="E31" s="178" t="str">
        <f>IF(OR($B31&gt;Input!$F$12,E$20&gt;Input!$F$16),0,Frequencies!E15)</f>
        <v>  </v>
      </c>
      <c r="F31" s="178" t="str">
        <f>IF(OR($B31&gt;Input!$F$12,F$20&gt;Input!$F$16),0,Frequencies!F15)</f>
        <v>  </v>
      </c>
      <c r="G31" s="178" t="str">
        <f>IF(OR($B31&gt;Input!$F$12,G$20&gt;Input!$F$16),0,Frequencies!G15)</f>
        <v>  </v>
      </c>
      <c r="H31" s="178" t="str">
        <f>IF(OR($B31&gt;Input!$F$12,H$20&gt;Input!$F$16),0,Frequencies!H15)</f>
        <v>  </v>
      </c>
      <c r="I31" s="178" t="str">
        <f>IF(OR($B31&gt;Input!$F$12,I$20&gt;Input!$F$16),0,Frequencies!I15)</f>
        <v>  </v>
      </c>
      <c r="J31" s="178" t="str">
        <f>IF(OR($B31&gt;Input!$F$12,J$20&gt;Input!$F$16),0,Frequencies!J15)</f>
        <v>  </v>
      </c>
      <c r="K31" s="178">
        <f>IF(OR($B31&gt;Input!$F$12,K$20&gt;Input!$F$16),0,Frequencies!K15)</f>
        <v>0</v>
      </c>
      <c r="L31" s="178">
        <f>IF(OR($B31&gt;Input!$F$12,L$20&gt;Input!$F$16),0,Frequencies!L15)</f>
        <v>0</v>
      </c>
      <c r="M31" s="178">
        <f>IF(OR($B31&gt;Input!$F$12,M$20&gt;Input!$F$16),0,Frequencies!M15)</f>
        <v>0</v>
      </c>
      <c r="N31" s="179">
        <f>IF(OR($B31&gt;Input!$F$12,N$20&gt;Input!$F$16),0,Frequencies!N15)</f>
        <v>0</v>
      </c>
      <c r="O31" s="190">
        <f t="shared" si="2"/>
        <v>0</v>
      </c>
      <c r="P31" s="14"/>
      <c r="Q31" s="14"/>
    </row>
    <row r="32" spans="1:17" ht="13.5" thickBot="1">
      <c r="A32" s="260">
        <f>IF(A8=1,A5,A6)</f>
        <v>1</v>
      </c>
      <c r="B32" s="316">
        <v>1</v>
      </c>
      <c r="C32" s="181" t="str">
        <f>IF(OR($B32&gt;Input!$F$12,C$20&gt;Input!$F$16),0,Frequencies!C16)</f>
        <v>  </v>
      </c>
      <c r="D32" s="182" t="str">
        <f>IF(OR($B32&gt;Input!$F$12,D$20&gt;Input!$F$16),0,Frequencies!D16)</f>
        <v>  </v>
      </c>
      <c r="E32" s="182" t="str">
        <f>IF(OR($B32&gt;Input!$F$12,E$20&gt;Input!$F$16),0,Frequencies!E16)</f>
        <v>  </v>
      </c>
      <c r="F32" s="182" t="str">
        <f>IF(OR($B32&gt;Input!$F$12,F$20&gt;Input!$F$16),0,Frequencies!F16)</f>
        <v>  </v>
      </c>
      <c r="G32" s="182" t="str">
        <f>IF(OR($B32&gt;Input!$F$12,G$20&gt;Input!$F$16),0,Frequencies!G16)</f>
        <v>  </v>
      </c>
      <c r="H32" s="182" t="str">
        <f>IF(OR($B32&gt;Input!$F$12,H$20&gt;Input!$F$16),0,Frequencies!H16)</f>
        <v>  </v>
      </c>
      <c r="I32" s="182" t="str">
        <f>IF(OR($B32&gt;Input!$F$12,I$20&gt;Input!$F$16),0,Frequencies!I16)</f>
        <v>  </v>
      </c>
      <c r="J32" s="182" t="str">
        <f>IF(OR($B32&gt;Input!$F$12,J$20&gt;Input!$F$16),0,Frequencies!J16)</f>
        <v>  </v>
      </c>
      <c r="K32" s="182">
        <f>IF(OR($B32&gt;Input!$F$12,K$20&gt;Input!$F$16),0,Frequencies!K16)</f>
        <v>0</v>
      </c>
      <c r="L32" s="182">
        <f>IF(OR($B32&gt;Input!$F$12,L$20&gt;Input!$F$16),0,Frequencies!L16)</f>
        <v>0</v>
      </c>
      <c r="M32" s="182">
        <f>IF(OR($B32&gt;Input!$F$12,M$20&gt;Input!$F$16),0,Frequencies!M16)</f>
        <v>0</v>
      </c>
      <c r="N32" s="183">
        <f>IF(OR($B32&gt;Input!$F$12,N$20&gt;Input!$F$16),0,Frequencies!N16)</f>
        <v>0</v>
      </c>
      <c r="O32" s="191">
        <f t="shared" si="2"/>
        <v>0</v>
      </c>
      <c r="P32" s="14"/>
      <c r="Q32" s="14"/>
    </row>
    <row r="33" spans="1:17" ht="13.5" thickBot="1">
      <c r="A33" s="14"/>
      <c r="B33" s="320" t="s">
        <v>0</v>
      </c>
      <c r="C33" s="192">
        <f aca="true" t="shared" si="3" ref="C33:N33">SUM(C21:C32)</f>
        <v>0</v>
      </c>
      <c r="D33" s="193">
        <f t="shared" si="3"/>
        <v>0</v>
      </c>
      <c r="E33" s="193">
        <f t="shared" si="3"/>
        <v>0</v>
      </c>
      <c r="F33" s="193">
        <f t="shared" si="3"/>
        <v>0</v>
      </c>
      <c r="G33" s="193">
        <f t="shared" si="3"/>
        <v>0</v>
      </c>
      <c r="H33" s="193">
        <f t="shared" si="3"/>
        <v>0</v>
      </c>
      <c r="I33" s="193">
        <f t="shared" si="3"/>
        <v>0</v>
      </c>
      <c r="J33" s="193">
        <f t="shared" si="3"/>
        <v>0</v>
      </c>
      <c r="K33" s="193">
        <f t="shared" si="3"/>
        <v>0</v>
      </c>
      <c r="L33" s="193">
        <f t="shared" si="3"/>
        <v>0</v>
      </c>
      <c r="M33" s="193">
        <f t="shared" si="3"/>
        <v>0</v>
      </c>
      <c r="N33" s="194">
        <f t="shared" si="3"/>
        <v>0</v>
      </c>
      <c r="O33" s="188">
        <f>IF(SUM(C33:N33)=SUM(O21:O32),SUM(C33:N33),"")</f>
        <v>0</v>
      </c>
      <c r="P33" s="14"/>
      <c r="Q33" s="14"/>
    </row>
    <row r="34" spans="1:17" ht="12.75">
      <c r="A34" s="14"/>
      <c r="B34" s="312" t="s">
        <v>67</v>
      </c>
      <c r="C34" s="195">
        <f>IF(C33&lt;2,0,(($A21-C39)*($A21-C39)*C21+($A22-C39)*($A22-C39)*C22+($A23-C39)*($A23-C39)*C23+($A24-C39)*($A24-C39)*C24+($A25-C39)*($A25-C39)*C25+($A26-C39)*($A26-C39)*C26+($A27-C39)*($A27-C39)*C27+($A28-C39)*($A28-C39)*C28+($A29-C39)*($A29-C39)*C29+($A30-C39)*($A30-C39)*C30+($A31-C39)*($A31-C39)*C31+($A32-C39)*($A32-C39)*C32))</f>
        <v>0</v>
      </c>
      <c r="D34" s="261">
        <f aca="true" t="shared" si="4" ref="D34:N34">IF(D33&lt;2,0,(($A21-D39)*($A21-D39)*D21+($A22-D39)*($A22-D39)*D22+($A23-D39)*($A23-D39)*D23+($A24-D39)*($A24-D39)*D24+($A25-D39)*($A25-D39)*D25+($A26-D39)*($A26-D39)*D26+($A27-D39)*($A27-D39)*D27+($A28-D39)*($A28-D39)*D28+($A29-D39)*($A29-D39)*D29+($A30-D39)*($A30-D39)*D30+($A31-D39)*($A31-D39)*D31+($A32-D39)*($A32-D39)*D32))</f>
        <v>0</v>
      </c>
      <c r="E34" s="261">
        <f t="shared" si="4"/>
        <v>0</v>
      </c>
      <c r="F34" s="261">
        <f t="shared" si="4"/>
        <v>0</v>
      </c>
      <c r="G34" s="261">
        <f t="shared" si="4"/>
        <v>0</v>
      </c>
      <c r="H34" s="261">
        <f t="shared" si="4"/>
        <v>0</v>
      </c>
      <c r="I34" s="261">
        <f t="shared" si="4"/>
        <v>0</v>
      </c>
      <c r="J34" s="261">
        <f t="shared" si="4"/>
        <v>0</v>
      </c>
      <c r="K34" s="261">
        <f t="shared" si="4"/>
        <v>0</v>
      </c>
      <c r="L34" s="261">
        <f t="shared" si="4"/>
        <v>0</v>
      </c>
      <c r="M34" s="261">
        <f t="shared" si="4"/>
        <v>0</v>
      </c>
      <c r="N34" s="262">
        <f t="shared" si="4"/>
        <v>0</v>
      </c>
      <c r="O34" s="196">
        <f>IF(O33&lt;2,0,(($A21-O39)*($A21-O39)*O21+($A22-O39)*($A22-O39)*O22+($A23-O39)*($A23-O39)*O23+($A24-O39)*($A24-O39)*O24+($A25-O39)*($A25-O39)*O25+($A26-O39)*($A26-O39)*O26+($A27-O39)*($A27-O39)*O27+($A28-O39)*($A28-O39)*O28+($A29-O39)*($A29-O39)*O29+($A30-O39)*($A30-O39)*O30+($A31-O39)*($A31-O39)*O31+($A32-O39)*($A32-O39)*O32))</f>
        <v>0</v>
      </c>
      <c r="P34" s="14"/>
      <c r="Q34" s="14"/>
    </row>
    <row r="35" spans="1:17" ht="13.5" thickBot="1">
      <c r="A35" s="14"/>
      <c r="B35" s="316" t="s">
        <v>68</v>
      </c>
      <c r="C35" s="181">
        <f aca="true" t="shared" si="5" ref="C35:O35">MAX(C33-1,0)</f>
        <v>0</v>
      </c>
      <c r="D35" s="182">
        <f t="shared" si="5"/>
        <v>0</v>
      </c>
      <c r="E35" s="182">
        <f t="shared" si="5"/>
        <v>0</v>
      </c>
      <c r="F35" s="182">
        <f t="shared" si="5"/>
        <v>0</v>
      </c>
      <c r="G35" s="182">
        <f t="shared" si="5"/>
        <v>0</v>
      </c>
      <c r="H35" s="182">
        <f t="shared" si="5"/>
        <v>0</v>
      </c>
      <c r="I35" s="182">
        <f t="shared" si="5"/>
        <v>0</v>
      </c>
      <c r="J35" s="182">
        <f t="shared" si="5"/>
        <v>0</v>
      </c>
      <c r="K35" s="182">
        <f t="shared" si="5"/>
        <v>0</v>
      </c>
      <c r="L35" s="182">
        <f t="shared" si="5"/>
        <v>0</v>
      </c>
      <c r="M35" s="182">
        <f t="shared" si="5"/>
        <v>0</v>
      </c>
      <c r="N35" s="183">
        <f t="shared" si="5"/>
        <v>0</v>
      </c>
      <c r="O35" s="197">
        <f t="shared" si="5"/>
        <v>0</v>
      </c>
      <c r="P35" s="14"/>
      <c r="Q35" s="14"/>
    </row>
    <row r="36" spans="1:18" ht="12.75">
      <c r="A36" s="14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55"/>
    </row>
    <row r="37" spans="1:17" ht="13.5" thickBot="1">
      <c r="A37" s="14"/>
      <c r="B37" s="12" t="s">
        <v>31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</row>
    <row r="38" spans="1:17" ht="13.5" thickBot="1">
      <c r="A38" s="14"/>
      <c r="B38" s="12"/>
      <c r="C38" s="321">
        <v>1</v>
      </c>
      <c r="D38" s="322">
        <f aca="true" t="shared" si="6" ref="D38:N38">C38+1</f>
        <v>2</v>
      </c>
      <c r="E38" s="322">
        <f t="shared" si="6"/>
        <v>3</v>
      </c>
      <c r="F38" s="322">
        <f t="shared" si="6"/>
        <v>4</v>
      </c>
      <c r="G38" s="322">
        <f t="shared" si="6"/>
        <v>5</v>
      </c>
      <c r="H38" s="322">
        <f t="shared" si="6"/>
        <v>6</v>
      </c>
      <c r="I38" s="322">
        <f t="shared" si="6"/>
        <v>7</v>
      </c>
      <c r="J38" s="322">
        <f t="shared" si="6"/>
        <v>8</v>
      </c>
      <c r="K38" s="322">
        <f t="shared" si="6"/>
        <v>9</v>
      </c>
      <c r="L38" s="322">
        <f t="shared" si="6"/>
        <v>10</v>
      </c>
      <c r="M38" s="322">
        <f t="shared" si="6"/>
        <v>11</v>
      </c>
      <c r="N38" s="323">
        <f t="shared" si="6"/>
        <v>12</v>
      </c>
      <c r="O38" s="324" t="s">
        <v>30</v>
      </c>
      <c r="P38" s="14"/>
      <c r="Q38" s="14"/>
    </row>
    <row r="39" spans="1:17" ht="13.5" thickBot="1">
      <c r="A39" s="14"/>
      <c r="B39" s="147" t="s">
        <v>103</v>
      </c>
      <c r="C39" s="325" t="str">
        <f>IF(C33=0," ",($A21*C21+$A22*C22+$A23*C23+$A24*C24+$A25*C25+$A26*C26+$A27*C27+$A28*C28+$A29*C29+$A30*C30+$A31*C31+$A32*C32)/C33)</f>
        <v> </v>
      </c>
      <c r="D39" s="326" t="str">
        <f aca="true" t="shared" si="7" ref="D39:N39">IF(D33=0," ",($A21*D21+$A22*D22+$A23*D23+$A24*D24+$A25*D25+$A26*D26+$A27*D27+$A28*D28+$A29*D29+$A30*D30+$A31*D31+$A32*D32)/D33)</f>
        <v> </v>
      </c>
      <c r="E39" s="326" t="str">
        <f t="shared" si="7"/>
        <v> </v>
      </c>
      <c r="F39" s="326" t="str">
        <f t="shared" si="7"/>
        <v> </v>
      </c>
      <c r="G39" s="326" t="str">
        <f t="shared" si="7"/>
        <v> </v>
      </c>
      <c r="H39" s="326" t="str">
        <f t="shared" si="7"/>
        <v> </v>
      </c>
      <c r="I39" s="326" t="str">
        <f t="shared" si="7"/>
        <v> </v>
      </c>
      <c r="J39" s="326" t="str">
        <f t="shared" si="7"/>
        <v> </v>
      </c>
      <c r="K39" s="326" t="str">
        <f t="shared" si="7"/>
        <v> </v>
      </c>
      <c r="L39" s="326" t="str">
        <f t="shared" si="7"/>
        <v> </v>
      </c>
      <c r="M39" s="326" t="str">
        <f t="shared" si="7"/>
        <v> </v>
      </c>
      <c r="N39" s="327" t="str">
        <f t="shared" si="7"/>
        <v> </v>
      </c>
      <c r="O39" s="325" t="str">
        <f>IF(O33=0," ",($A21*O21+$A22*O22+$A23*O23+$A24*O24+$A25*O25+$A26*O26+$A27*O27+$A28*O28+$A29*O29+$A30*O30+$A31*O31+$A32*O32)/O33)</f>
        <v> </v>
      </c>
      <c r="P39" s="14"/>
      <c r="Q39" s="14"/>
    </row>
    <row r="40" spans="1:17" ht="13.5" thickBot="1">
      <c r="A40" s="3"/>
      <c r="B40" s="147" t="s">
        <v>102</v>
      </c>
      <c r="C40" s="81" t="str">
        <f aca="true" t="shared" si="8" ref="C40:O40">IF(C33&lt;2," ",SQRT(C34/C35))</f>
        <v> </v>
      </c>
      <c r="D40" s="82" t="str">
        <f t="shared" si="8"/>
        <v> </v>
      </c>
      <c r="E40" s="82" t="str">
        <f t="shared" si="8"/>
        <v> </v>
      </c>
      <c r="F40" s="82" t="str">
        <f t="shared" si="8"/>
        <v> </v>
      </c>
      <c r="G40" s="82" t="str">
        <f t="shared" si="8"/>
        <v> </v>
      </c>
      <c r="H40" s="82" t="str">
        <f t="shared" si="8"/>
        <v> </v>
      </c>
      <c r="I40" s="82" t="str">
        <f t="shared" si="8"/>
        <v> </v>
      </c>
      <c r="J40" s="82" t="str">
        <f t="shared" si="8"/>
        <v> </v>
      </c>
      <c r="K40" s="82" t="str">
        <f t="shared" si="8"/>
        <v> </v>
      </c>
      <c r="L40" s="82" t="str">
        <f t="shared" si="8"/>
        <v> </v>
      </c>
      <c r="M40" s="82" t="str">
        <f t="shared" si="8"/>
        <v> </v>
      </c>
      <c r="N40" s="83" t="str">
        <f t="shared" si="8"/>
        <v> </v>
      </c>
      <c r="O40" s="15" t="str">
        <f t="shared" si="8"/>
        <v> </v>
      </c>
      <c r="P40" s="3"/>
      <c r="Q40" s="3"/>
    </row>
    <row r="41" spans="1:17" ht="12.75">
      <c r="A41" s="3"/>
      <c r="B41" s="1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3"/>
    </row>
    <row r="42" spans="1:2" ht="12.75">
      <c r="A42" s="3"/>
      <c r="B42" t="s">
        <v>84</v>
      </c>
    </row>
    <row r="43" spans="1:14" ht="12.75">
      <c r="A43" s="3"/>
      <c r="C43" s="198">
        <f aca="true" t="shared" si="9" ref="C43:N43">IF(C33&gt;0.5,C33*(C39-$O39)*(C39-$O39),0)</f>
        <v>0</v>
      </c>
      <c r="D43" s="198">
        <f t="shared" si="9"/>
        <v>0</v>
      </c>
      <c r="E43" s="198">
        <f t="shared" si="9"/>
        <v>0</v>
      </c>
      <c r="F43" s="198">
        <f t="shared" si="9"/>
        <v>0</v>
      </c>
      <c r="G43" s="198">
        <f t="shared" si="9"/>
        <v>0</v>
      </c>
      <c r="H43" s="198">
        <f t="shared" si="9"/>
        <v>0</v>
      </c>
      <c r="I43" s="198">
        <f t="shared" si="9"/>
        <v>0</v>
      </c>
      <c r="J43" s="198">
        <f t="shared" si="9"/>
        <v>0</v>
      </c>
      <c r="K43" s="198">
        <f t="shared" si="9"/>
        <v>0</v>
      </c>
      <c r="L43" s="198">
        <f t="shared" si="9"/>
        <v>0</v>
      </c>
      <c r="M43" s="198">
        <f t="shared" si="9"/>
        <v>0</v>
      </c>
      <c r="N43" s="198">
        <f t="shared" si="9"/>
        <v>0</v>
      </c>
    </row>
    <row r="44" spans="3:11" ht="12.75">
      <c r="C44" t="s">
        <v>83</v>
      </c>
      <c r="K44">
        <f>SUM(C43:N43)</f>
        <v>0</v>
      </c>
    </row>
    <row r="47" spans="2:11" ht="13.5" thickBot="1">
      <c r="B47" s="120" t="s">
        <v>126</v>
      </c>
      <c r="K47" s="11" t="s">
        <v>136</v>
      </c>
    </row>
    <row r="48" spans="9:15" ht="12.75">
      <c r="I48" s="200"/>
      <c r="J48" s="201" t="s">
        <v>134</v>
      </c>
      <c r="K48" s="207">
        <v>17476</v>
      </c>
      <c r="N48" s="201" t="s">
        <v>127</v>
      </c>
      <c r="O48" s="204">
        <f>IF(K50&gt;0,(K48-K49)*K50/((K49-1)*(1-K50)),"  ")</f>
        <v>2.9144144144144146</v>
      </c>
    </row>
    <row r="49" spans="9:15" ht="12.75">
      <c r="I49" s="200"/>
      <c r="J49" s="159" t="s">
        <v>133</v>
      </c>
      <c r="K49" s="203">
        <v>7</v>
      </c>
      <c r="N49" s="201" t="s">
        <v>128</v>
      </c>
      <c r="O49" s="202">
        <f>IF(K50&gt;0,FDIST(O48,K49-1,K48-K49),"  ")</f>
        <v>0.0076727824745090765</v>
      </c>
    </row>
    <row r="50" spans="9:15" ht="13.5" thickBot="1">
      <c r="I50" s="200"/>
      <c r="J50" s="201" t="s">
        <v>135</v>
      </c>
      <c r="K50" s="205">
        <v>0.001</v>
      </c>
      <c r="N50" s="159" t="s">
        <v>129</v>
      </c>
      <c r="O50" s="206">
        <f>IF(K50&gt;0,O49,"  ")</f>
        <v>0.0076727824745090765</v>
      </c>
    </row>
    <row r="53" spans="2:15" ht="13.5" thickBot="1">
      <c r="B53" s="159"/>
      <c r="C53" s="160">
        <f>IF(Input!M9=9,"","IGNORE THESE  RESULTS")</f>
      </c>
      <c r="D53" s="160"/>
      <c r="E53" s="163"/>
      <c r="O53" s="135"/>
    </row>
    <row r="54" spans="2:15" ht="12.75">
      <c r="B54" s="159" t="s">
        <v>115</v>
      </c>
      <c r="C54" s="164">
        <f>IF(Input!D62&lt;0.5,"",C55*Input!D64*Input!D64)</f>
      </c>
      <c r="D54" s="165">
        <f>IF(Input!E62&lt;0.5,"",D55*Input!E64*Input!E64)</f>
      </c>
      <c r="E54" s="165">
        <f>IF(Input!F62&lt;0.5,"",E55*Input!F64*Input!F64)</f>
      </c>
      <c r="F54" s="165">
        <f>IF(Input!G62&lt;0.5,"",F55*Input!G64*Input!G64)</f>
      </c>
      <c r="G54" s="165">
        <f>IF(Input!H62&lt;0.5,"",G55*Input!H64*Input!H64)</f>
      </c>
      <c r="H54" s="165">
        <f>IF(Input!I62&lt;0.5,"",H55*Input!I64*Input!I64)</f>
      </c>
      <c r="I54" s="165">
        <f>IF(Input!J62&lt;0.5,"",I55*Input!J64*Input!J64)</f>
      </c>
      <c r="J54" s="165">
        <f>IF(Input!K62&lt;0.5,"",J55*Input!K64*Input!K64)</f>
      </c>
      <c r="K54" s="165">
        <f>IF(Input!L62&lt;0.5,"",K55*Input!L64*Input!L64)</f>
      </c>
      <c r="L54" s="165">
        <f>IF(Input!M62&lt;0.5,"",L55*Input!M64*Input!M64)</f>
      </c>
      <c r="M54" s="165">
        <f>IF(Input!N62&lt;0.5,"",M55*Input!N64*Input!N64)</f>
      </c>
      <c r="N54" s="265">
        <f>IF(Input!O62&lt;0.5,"",N55*Input!O64*Input!O64)</f>
      </c>
      <c r="O54" s="166">
        <f>SUM(C54:N54)</f>
        <v>0</v>
      </c>
    </row>
    <row r="55" spans="2:15" ht="12.75">
      <c r="B55" s="159" t="s">
        <v>116</v>
      </c>
      <c r="C55" s="167">
        <f>IF(Input!D62&gt;0.5,Input!D62-1,"")</f>
      </c>
      <c r="D55" s="168">
        <f>IF(Input!E62&gt;0.5,Input!E62-1,"")</f>
      </c>
      <c r="E55" s="168">
        <f>IF(Input!F62&gt;0.5,Input!F62-1,"")</f>
      </c>
      <c r="F55" s="168">
        <f>IF(Input!G62&gt;0.5,Input!G62-1,"")</f>
      </c>
      <c r="G55" s="168">
        <f>IF(Input!H62&gt;0.5,Input!H62-1,"")</f>
      </c>
      <c r="H55" s="168">
        <f>IF(Input!I62&gt;0.5,Input!I62-1,"")</f>
      </c>
      <c r="I55" s="168">
        <f>IF(Input!J62&gt;0.5,Input!J62-1,"")</f>
      </c>
      <c r="J55" s="168">
        <f>IF(Input!K62&gt;0.5,Input!K62-1,"")</f>
      </c>
      <c r="K55" s="168">
        <f>IF(Input!L62&gt;0.5,Input!L62-1,"")</f>
      </c>
      <c r="L55" s="168">
        <f>IF(Input!M62&gt;0.5,Input!M62-1,"")</f>
      </c>
      <c r="M55" s="168">
        <f>IF(Input!N62&gt;0.5,Input!N62-1,"")</f>
      </c>
      <c r="N55" s="266">
        <f>IF(Input!O62&gt;0.5,Input!O62-1,"")</f>
      </c>
      <c r="O55" s="169">
        <f>IF(Input!P62&lt;0.5,"",SUM(C55:N55))</f>
      </c>
    </row>
    <row r="56" spans="2:15" ht="12.75">
      <c r="B56" s="159" t="s">
        <v>113</v>
      </c>
      <c r="C56" s="167">
        <f>IF(Input!D62&gt;0.5,Input!D62*Input!D63,"")</f>
      </c>
      <c r="D56" s="168">
        <f>IF(Input!E62&gt;0.5,Input!E62*Input!E63,"")</f>
      </c>
      <c r="E56" s="168">
        <f>IF(Input!F62&gt;0.5,Input!F62*Input!F63,"")</f>
      </c>
      <c r="F56" s="168">
        <f>IF(Input!G62&gt;0.5,Input!G62*Input!G63,"")</f>
      </c>
      <c r="G56" s="168">
        <f>IF(Input!H62&gt;0.5,Input!H62*Input!H63,"")</f>
      </c>
      <c r="H56" s="168">
        <f>IF(Input!I62&gt;0.5,Input!I62*Input!I63,"")</f>
      </c>
      <c r="I56" s="168">
        <f>IF(Input!J62&gt;0.5,Input!J62*Input!J63,"")</f>
      </c>
      <c r="J56" s="168">
        <f>IF(Input!K62&gt;0.5,Input!K62*Input!K63,"")</f>
      </c>
      <c r="K56" s="168">
        <f>IF(Input!L62&gt;0.5,Input!L62*Input!L63,"")</f>
      </c>
      <c r="L56" s="168">
        <f>IF(Input!M62&gt;0.5,Input!M62*Input!M63,"")</f>
      </c>
      <c r="M56" s="168">
        <f>IF(Input!N62&gt;0.5,Input!N62*Input!N63,"")</f>
      </c>
      <c r="N56" s="266">
        <f>IF(Input!O62&gt;0.5,Input!O62*Input!O63,"")</f>
      </c>
      <c r="O56" s="169">
        <f>SUM(C56:N56)</f>
        <v>0</v>
      </c>
    </row>
    <row r="57" spans="2:15" ht="13.5" thickBot="1">
      <c r="B57" s="159" t="s">
        <v>117</v>
      </c>
      <c r="C57" s="170">
        <f>IF(Input!D62&lt;0.5,"",Input!D62*(Input!D63-Input!$P63)*(Input!D63-Input!$P63))</f>
      </c>
      <c r="D57" s="171">
        <f>IF(Input!E62&lt;0.5,"",Input!E62*(Input!E63-Input!$P63)*(Input!E63-Input!$P63))</f>
      </c>
      <c r="E57" s="171">
        <f>IF(Input!F62&lt;0.5,"",Input!F62*(Input!F63-Input!$P63)*(Input!F63-Input!$P63))</f>
      </c>
      <c r="F57" s="171">
        <f>IF(Input!G62&lt;0.5,"",Input!G62*(Input!G63-Input!$P63)*(Input!G63-Input!$P63))</f>
      </c>
      <c r="G57" s="171">
        <f>IF(Input!H62&lt;0.5,"",Input!H62*(Input!H63-Input!$P63)*(Input!H63-Input!$P63))</f>
      </c>
      <c r="H57" s="171">
        <f>IF(Input!I62&lt;0.5,"",Input!I62*(Input!I63-Input!$P63)*(Input!I63-Input!$P63))</f>
      </c>
      <c r="I57" s="171">
        <f>IF(Input!J62&lt;0.5,"",Input!J62*(Input!J63-Input!$P63)*(Input!J63-Input!$P63))</f>
      </c>
      <c r="J57" s="171">
        <f>IF(Input!K62&lt;0.5,"",Input!K62*(Input!K63-Input!$P63)*(Input!K63-Input!$P63))</f>
      </c>
      <c r="K57" s="171">
        <f>IF(Input!L62&lt;0.5,"",Input!L62*(Input!L63-Input!$P63)*(Input!L63-Input!$P63))</f>
      </c>
      <c r="L57" s="171">
        <f>IF(Input!M62&lt;0.5,"",Input!M62*(Input!M63-Input!$P63)*(Input!M63-Input!$P63))</f>
      </c>
      <c r="M57" s="171">
        <f>IF(Input!N62&lt;0.5,"",Input!N62*(Input!N63-Input!$P63)*(Input!N63-Input!$P63))</f>
      </c>
      <c r="N57" s="267">
        <f>IF(Input!O62&lt;0.5,"",Input!O62*(Input!O63-Input!$P63)*(Input!O63-Input!$P63))</f>
      </c>
      <c r="O57" s="172">
        <f>IF(Input!P62&lt;0.5,"",SUM(C57:N57))</f>
      </c>
    </row>
    <row r="58" ht="12.75">
      <c r="B58" s="159"/>
    </row>
  </sheetData>
  <sheetProtection password="C550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R75"/>
  <sheetViews>
    <sheetView showGridLines="0" zoomScalePageLayoutView="0" workbookViewId="0" topLeftCell="A1">
      <selection activeCell="N20" sqref="N20:Q21"/>
    </sheetView>
  </sheetViews>
  <sheetFormatPr defaultColWidth="9.140625" defaultRowHeight="12.75"/>
  <cols>
    <col min="1" max="1" width="2.7109375" style="0" customWidth="1"/>
    <col min="2" max="13" width="7.8515625" style="0" customWidth="1"/>
    <col min="14" max="14" width="2.8515625" style="0" customWidth="1"/>
    <col min="15" max="16" width="5.7109375" style="0" customWidth="1"/>
    <col min="17" max="17" width="6.421875" style="0" customWidth="1"/>
    <col min="18" max="20" width="5.7109375" style="0" customWidth="1"/>
  </cols>
  <sheetData>
    <row r="1" spans="1:16" ht="13.5" thickBot="1">
      <c r="A1" s="61" t="s">
        <v>60</v>
      </c>
      <c r="B1" s="6"/>
      <c r="C1" s="2"/>
      <c r="D1" s="2"/>
      <c r="E1" s="2"/>
      <c r="F1" s="2"/>
      <c r="G1" s="2"/>
      <c r="H1" s="2"/>
      <c r="I1" s="2"/>
      <c r="J1" s="6"/>
      <c r="K1" s="6"/>
      <c r="L1" s="6"/>
      <c r="M1" s="6"/>
      <c r="N1" s="6"/>
      <c r="O1" s="6"/>
      <c r="P1" s="7"/>
    </row>
    <row r="2" spans="1:18" ht="12.75">
      <c r="A2" s="118"/>
      <c r="B2" s="53"/>
      <c r="C2" s="118"/>
      <c r="D2" s="118"/>
      <c r="E2" s="118"/>
      <c r="F2" s="118"/>
      <c r="G2" s="118"/>
      <c r="H2" s="118"/>
      <c r="I2" s="118"/>
      <c r="M2" s="53"/>
      <c r="N2" s="53"/>
      <c r="O2" s="53"/>
      <c r="P2" s="53"/>
      <c r="Q2" s="55"/>
      <c r="R2" s="55"/>
    </row>
    <row r="3" spans="1:18" ht="12.75">
      <c r="A3" s="118"/>
      <c r="B3" s="53"/>
      <c r="C3" s="114" t="s">
        <v>75</v>
      </c>
      <c r="D3" s="16"/>
      <c r="E3" s="16"/>
      <c r="F3" s="16"/>
      <c r="G3" s="16"/>
      <c r="H3" s="16"/>
      <c r="I3" s="16"/>
      <c r="M3" s="16"/>
      <c r="N3" s="16"/>
      <c r="O3" s="16"/>
      <c r="P3" s="16"/>
      <c r="Q3" s="14"/>
      <c r="R3" s="14"/>
    </row>
    <row r="4" spans="1:18" ht="12.75">
      <c r="A4" s="118"/>
      <c r="B4" s="53"/>
      <c r="C4" s="115" t="s">
        <v>76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4"/>
      <c r="R4" s="14"/>
    </row>
    <row r="5" spans="1:11" ht="12.75">
      <c r="A5" s="118"/>
      <c r="B5" s="53"/>
      <c r="C5" t="s">
        <v>72</v>
      </c>
      <c r="E5" s="11" t="s">
        <v>67</v>
      </c>
      <c r="G5" s="11" t="s">
        <v>68</v>
      </c>
      <c r="H5" s="11"/>
      <c r="I5" s="11" t="s">
        <v>73</v>
      </c>
      <c r="K5" s="11" t="s">
        <v>74</v>
      </c>
    </row>
    <row r="6" spans="1:3" ht="12.75">
      <c r="A6" s="118"/>
      <c r="B6" s="53"/>
      <c r="C6" s="115" t="s">
        <v>76</v>
      </c>
    </row>
    <row r="7" spans="1:11" ht="12.75">
      <c r="A7" s="118"/>
      <c r="B7" s="53"/>
      <c r="C7" t="s">
        <v>69</v>
      </c>
      <c r="E7" s="89">
        <f>IF(Input!M9=9,Frequencies!O57,E10-E8)</f>
      </c>
      <c r="F7" s="89"/>
      <c r="G7" s="89" t="e">
        <f>G10-G8</f>
        <v>#VALUE!</v>
      </c>
      <c r="I7" s="11" t="e">
        <f>E7/G7</f>
        <v>#VALUE!</v>
      </c>
      <c r="K7" s="119" t="str">
        <f>IF(ABS(Input!F16-Input!C53)&gt;0.5,"INPUT ERROR!!",I7/I8)</f>
        <v>INPUT ERROR!!</v>
      </c>
    </row>
    <row r="8" spans="1:9" ht="13.5" thickBot="1">
      <c r="A8" s="118"/>
      <c r="B8" s="53"/>
      <c r="C8" t="s">
        <v>70</v>
      </c>
      <c r="E8" s="89">
        <f>IF(Input!M9=9,Frequencies!O54,SUM(Frequencies!C34:N34))</f>
        <v>0</v>
      </c>
      <c r="F8" s="89"/>
      <c r="G8" s="89">
        <f>IF(Input!M9=9,Frequencies!O55,SUM(Frequencies!C35:N35))</f>
      </c>
      <c r="I8" s="113" t="e">
        <f>E8/G8</f>
        <v>#VALUE!</v>
      </c>
    </row>
    <row r="9" spans="1:11" ht="13.5" thickBot="1">
      <c r="A9" s="118"/>
      <c r="B9" s="53"/>
      <c r="C9" s="116" t="s">
        <v>77</v>
      </c>
      <c r="E9" s="89"/>
      <c r="F9" s="89"/>
      <c r="G9" s="89"/>
      <c r="K9" s="117" t="s">
        <v>79</v>
      </c>
    </row>
    <row r="10" spans="1:11" ht="12.75">
      <c r="A10" s="118"/>
      <c r="B10" s="53"/>
      <c r="C10" t="s">
        <v>71</v>
      </c>
      <c r="E10" s="89" t="e">
        <f>IF(Input!M9=9,E7+E8,Frequencies!O34)</f>
        <v>#VALUE!</v>
      </c>
      <c r="F10" s="89"/>
      <c r="G10" s="89">
        <f>IF(Input!M9=9,Input!P62-1,Frequencies!O35)</f>
        <v>-1</v>
      </c>
      <c r="K10" s="263" t="e">
        <f>IF(FDIST(K$7,G$7,G$8)&lt;0.001,"",FDIST(K$7,G$7,G$8))</f>
        <v>#VALUE!</v>
      </c>
    </row>
    <row r="11" spans="1:11" ht="13.5" thickBot="1">
      <c r="A11" s="118"/>
      <c r="B11" s="53"/>
      <c r="C11" s="116" t="s">
        <v>78</v>
      </c>
      <c r="K11" s="264" t="e">
        <f>IF(FDIST(K$7,G$7,G$8)&lt;0.001,"&lt; 0,001","  ")</f>
        <v>#VALUE!</v>
      </c>
    </row>
    <row r="12" spans="1:12" ht="13.5" thickBot="1">
      <c r="A12" s="118"/>
      <c r="B12" s="53"/>
      <c r="C12" t="s">
        <v>85</v>
      </c>
      <c r="E12" s="121" t="e">
        <f>IF(G7=(Input!F16-1),"OK","error !!!")</f>
        <v>#VALUE!</v>
      </c>
      <c r="F12" s="11" t="s">
        <v>86</v>
      </c>
      <c r="G12" s="123"/>
      <c r="H12" s="124" t="s">
        <v>89</v>
      </c>
      <c r="I12" s="199">
        <f>E7</f>
      </c>
      <c r="L12" s="535">
        <f>Means!$E$5+0.1</f>
        <v>8.1</v>
      </c>
    </row>
    <row r="13" spans="1:9" ht="13.5" thickBot="1">
      <c r="A13" s="118"/>
      <c r="B13" s="53"/>
      <c r="G13" s="125"/>
      <c r="H13" s="126" t="s">
        <v>88</v>
      </c>
      <c r="I13" s="162" t="str">
        <f>IF(Input!M9=9,"no check",Frequencies!K44)</f>
        <v>no check</v>
      </c>
    </row>
    <row r="14" spans="1:12" ht="12.75">
      <c r="A14" s="118"/>
      <c r="B14" s="53"/>
      <c r="C14" t="s">
        <v>130</v>
      </c>
      <c r="E14" s="10" t="e">
        <f>E7/E10</f>
        <v>#VALUE!</v>
      </c>
      <c r="J14" t="s">
        <v>90</v>
      </c>
      <c r="L14" s="26" t="e">
        <f>SQRT(I8)</f>
        <v>#VALUE!</v>
      </c>
    </row>
    <row r="15" spans="1:2" ht="12.75">
      <c r="A15" s="118"/>
      <c r="B15" s="53"/>
    </row>
    <row r="16" spans="1:3" ht="12.75">
      <c r="A16" s="118"/>
      <c r="B16" s="53"/>
      <c r="C16" s="120" t="s">
        <v>119</v>
      </c>
    </row>
    <row r="17" spans="1:9" ht="12.75">
      <c r="A17" s="118"/>
      <c r="B17" s="53"/>
      <c r="F17" s="575"/>
      <c r="G17" s="575"/>
      <c r="H17" s="575"/>
      <c r="I17" s="575"/>
    </row>
    <row r="18" spans="2:13" ht="12.75">
      <c r="B18" s="8" t="s">
        <v>173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0"/>
    </row>
    <row r="19" spans="2:13" ht="13.5" thickBot="1">
      <c r="B19" s="8" t="s">
        <v>80</v>
      </c>
      <c r="C19" s="8"/>
      <c r="D19" s="8"/>
      <c r="E19" s="8"/>
      <c r="F19" s="8"/>
      <c r="G19" s="122" t="s">
        <v>82</v>
      </c>
      <c r="H19" s="8"/>
      <c r="I19" s="8"/>
      <c r="J19" s="8"/>
      <c r="K19" s="8"/>
      <c r="L19" s="8" t="s">
        <v>81</v>
      </c>
      <c r="M19" s="90"/>
    </row>
    <row r="20" spans="2:17" ht="13.5" thickTop="1">
      <c r="B20" s="8" t="s">
        <v>87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90"/>
      <c r="N20" s="589" t="s">
        <v>261</v>
      </c>
      <c r="O20" s="590"/>
      <c r="P20" s="590"/>
      <c r="Q20" s="591"/>
    </row>
    <row r="21" spans="2:17" ht="13.5" thickBo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0"/>
      <c r="N21" s="592"/>
      <c r="O21" s="595" t="s">
        <v>264</v>
      </c>
      <c r="P21" s="593">
        <f>0.01*(Input!O16)</f>
        <v>0.9500000000000001</v>
      </c>
      <c r="Q21" s="594"/>
    </row>
    <row r="22" spans="1:13" ht="13.5" thickTop="1">
      <c r="A22" s="538"/>
      <c r="B22" s="537">
        <v>12</v>
      </c>
      <c r="C22" s="537">
        <v>11</v>
      </c>
      <c r="D22" s="537">
        <v>10</v>
      </c>
      <c r="E22" s="537">
        <v>9</v>
      </c>
      <c r="F22" s="537">
        <v>8</v>
      </c>
      <c r="G22" s="537">
        <v>7</v>
      </c>
      <c r="H22" s="537">
        <v>6</v>
      </c>
      <c r="I22" s="537">
        <v>5</v>
      </c>
      <c r="J22" s="537">
        <v>4</v>
      </c>
      <c r="K22" s="537">
        <v>3</v>
      </c>
      <c r="L22" s="537">
        <v>2</v>
      </c>
      <c r="M22" s="537">
        <v>1</v>
      </c>
    </row>
    <row r="23" spans="1:14" ht="13.5" thickBot="1">
      <c r="A23" s="539"/>
      <c r="B23" s="81" t="str">
        <f>E49</f>
        <v> </v>
      </c>
      <c r="C23" s="82" t="str">
        <f>E50</f>
        <v> </v>
      </c>
      <c r="D23" s="82" t="str">
        <f>E51</f>
        <v> </v>
      </c>
      <c r="E23" s="82" t="str">
        <f>E52</f>
        <v> </v>
      </c>
      <c r="F23" s="82" t="e">
        <f>E53</f>
        <v>#VALUE!</v>
      </c>
      <c r="G23" s="82" t="e">
        <f>+E54</f>
        <v>#VALUE!</v>
      </c>
      <c r="H23" s="82" t="e">
        <f>E55</f>
        <v>#VALUE!</v>
      </c>
      <c r="I23" s="82" t="e">
        <f>+E56</f>
        <v>#VALUE!</v>
      </c>
      <c r="J23" s="82" t="e">
        <f>E57</f>
        <v>#VALUE!</v>
      </c>
      <c r="K23" s="82" t="e">
        <f>E58</f>
        <v>#VALUE!</v>
      </c>
      <c r="L23" s="82" t="e">
        <f>E59</f>
        <v>#VALUE!</v>
      </c>
      <c r="M23" s="83">
        <f>E60</f>
        <v>0</v>
      </c>
      <c r="N23" t="s">
        <v>105</v>
      </c>
    </row>
    <row r="24" spans="1:14" ht="12.75">
      <c r="A24" s="540"/>
      <c r="B24" s="335" t="str">
        <f>IF(B$22&gt;$L$12,"   ",Means!$A83)</f>
        <v>   </v>
      </c>
      <c r="C24" s="336" t="str">
        <f>IF(C$22&gt;$L$12,"   ",Means!$A84)</f>
        <v>   </v>
      </c>
      <c r="D24" s="336" t="str">
        <f>IF(D$22&gt;$L$12,"   ",Means!$A85)</f>
        <v>   </v>
      </c>
      <c r="E24" s="336" t="str">
        <f>IF(E$22&gt;$L$12,"   ",Means!$A86)</f>
        <v>   </v>
      </c>
      <c r="F24" s="336" t="e">
        <f>IF(F$22&gt;$L$12,"   ",Means!$A87)</f>
        <v>#VALUE!</v>
      </c>
      <c r="G24" s="336" t="e">
        <f>IF(G$22&gt;$L$12,"   ",Means!$A88)</f>
        <v>#VALUE!</v>
      </c>
      <c r="H24" s="336" t="e">
        <f>IF(H$22&gt;$L$12,"   ",Means!$A89)</f>
        <v>#VALUE!</v>
      </c>
      <c r="I24" s="336" t="e">
        <f>IF(I$22&gt;$L$12,"   ",Means!$A90)</f>
        <v>#VALUE!</v>
      </c>
      <c r="J24" s="336" t="e">
        <f>IF(J$22&gt;$L$12,"   ",Means!$A91)</f>
        <v>#VALUE!</v>
      </c>
      <c r="K24" s="336" t="e">
        <f>IF(K$22&gt;$L$12,"   ",Means!$A92)</f>
        <v>#VALUE!</v>
      </c>
      <c r="L24" s="336" t="e">
        <f>IF(L$22&gt;$L$12,"   ",Means!$A93)</f>
        <v>#VALUE!</v>
      </c>
      <c r="M24" s="337" t="e">
        <f>IF(M$22&gt;$L$12,"   ",Means!$A94)</f>
        <v>#VALUE!</v>
      </c>
      <c r="N24" t="s">
        <v>106</v>
      </c>
    </row>
    <row r="25" spans="1:17" ht="13.5" thickBot="1">
      <c r="A25" s="541"/>
      <c r="B25" s="338" t="str">
        <f>IF(B$22&gt;$L$12,"   ",Means!$C83)</f>
        <v>   </v>
      </c>
      <c r="C25" s="339" t="str">
        <f>IF(C$22&gt;$L$12,"   ",Means!$C84)</f>
        <v>   </v>
      </c>
      <c r="D25" s="339" t="str">
        <f>IF(D$22&gt;$L$12,"   ",Means!$C85)</f>
        <v>   </v>
      </c>
      <c r="E25" s="339" t="str">
        <f>IF(E$22&gt;$L$12,"   ",Means!$C86)</f>
        <v>   </v>
      </c>
      <c r="F25" s="339" t="e">
        <f>IF(F$22&gt;$L$12,"   ",Means!$C87)</f>
        <v>#VALUE!</v>
      </c>
      <c r="G25" s="339" t="e">
        <f>IF(G$22&gt;$L$12,"   ",Means!$C88)</f>
        <v>#VALUE!</v>
      </c>
      <c r="H25" s="339" t="e">
        <f>IF(H$22&gt;$L$12,"   ",Means!$C89)</f>
        <v>#VALUE!</v>
      </c>
      <c r="I25" s="339" t="e">
        <f>IF(I$22&gt;$L$12,"   ",Means!$C90)</f>
        <v>#VALUE!</v>
      </c>
      <c r="J25" s="339" t="e">
        <f>IF(J$22&gt;$L$12,"   ",Means!$C91)</f>
        <v>#VALUE!</v>
      </c>
      <c r="K25" s="339" t="e">
        <f>IF(K$22&gt;$L$12,"   ",Means!$C92)</f>
        <v>#VALUE!</v>
      </c>
      <c r="L25" s="339" t="e">
        <f>IF(L$22&gt;$L$12,"   ",Means!$C93)</f>
        <v>#VALUE!</v>
      </c>
      <c r="M25" s="340" t="e">
        <f>IF(M$22&gt;$L$12,"   ",Means!$C94)</f>
        <v>#VALUE!</v>
      </c>
      <c r="O25" s="543"/>
      <c r="P25" s="543"/>
      <c r="Q25" s="543"/>
    </row>
    <row r="26" spans="1:17" ht="12.75">
      <c r="A26" s="542">
        <v>1</v>
      </c>
      <c r="B26" s="105" t="str">
        <f>IF(OR(B$22&gt;$F$42,$A26&gt;$F$42,$A26&gt;B$22),"X",IF(OR(B$22=$A26,$O26-B$23&lt;B65),"-------------"," "))</f>
        <v>X</v>
      </c>
      <c r="C26" s="106" t="str">
        <f aca="true" t="shared" si="0" ref="C26:M26">IF(OR(C$22&gt;$F$42,$A26&gt;$F$42,$A26&gt;C$22),"X",IF(OR(C$22=$A26,$O26-C$23&lt;C65),"-------------"," "))</f>
        <v>X</v>
      </c>
      <c r="D26" s="106" t="str">
        <f t="shared" si="0"/>
        <v>X</v>
      </c>
      <c r="E26" s="106" t="str">
        <f t="shared" si="0"/>
        <v>X</v>
      </c>
      <c r="F26" s="106" t="e">
        <f t="shared" si="0"/>
        <v>#VALUE!</v>
      </c>
      <c r="G26" s="106" t="e">
        <f t="shared" si="0"/>
        <v>#VALUE!</v>
      </c>
      <c r="H26" s="106" t="e">
        <f t="shared" si="0"/>
        <v>#VALUE!</v>
      </c>
      <c r="I26" s="106" t="e">
        <f t="shared" si="0"/>
        <v>#VALUE!</v>
      </c>
      <c r="J26" s="106" t="e">
        <f t="shared" si="0"/>
        <v>#VALUE!</v>
      </c>
      <c r="K26" s="106" t="e">
        <f t="shared" si="0"/>
        <v>#VALUE!</v>
      </c>
      <c r="L26" s="106" t="e">
        <f t="shared" si="0"/>
        <v>#VALUE!</v>
      </c>
      <c r="M26" s="222" t="e">
        <f t="shared" si="0"/>
        <v>#VALUE!</v>
      </c>
      <c r="N26" s="341" t="e">
        <f>C60</f>
        <v>#VALUE!</v>
      </c>
      <c r="O26" s="546">
        <f>M23</f>
        <v>0</v>
      </c>
      <c r="P26" s="543"/>
      <c r="Q26" s="543"/>
    </row>
    <row r="27" spans="1:17" ht="12.75">
      <c r="A27" s="542">
        <v>2</v>
      </c>
      <c r="B27" s="107" t="str">
        <f aca="true" t="shared" si="1" ref="B27:L37">IF(OR(B$22&gt;$F$42,$A27&gt;$F$42,$A27&gt;B$22),"X",IF(OR(B$22=$A27,$O27-B$23&lt;B66),"-------------"," "))</f>
        <v>X</v>
      </c>
      <c r="C27" s="104" t="str">
        <f t="shared" si="1"/>
        <v>X</v>
      </c>
      <c r="D27" s="104" t="str">
        <f t="shared" si="1"/>
        <v>X</v>
      </c>
      <c r="E27" s="104" t="str">
        <f t="shared" si="1"/>
        <v>X</v>
      </c>
      <c r="F27" s="104" t="e">
        <f t="shared" si="1"/>
        <v>#VALUE!</v>
      </c>
      <c r="G27" s="104" t="e">
        <f t="shared" si="1"/>
        <v>#VALUE!</v>
      </c>
      <c r="H27" s="104" t="e">
        <f t="shared" si="1"/>
        <v>#VALUE!</v>
      </c>
      <c r="I27" s="104" t="e">
        <f t="shared" si="1"/>
        <v>#VALUE!</v>
      </c>
      <c r="J27" s="104" t="e">
        <f t="shared" si="1"/>
        <v>#VALUE!</v>
      </c>
      <c r="K27" s="104" t="e">
        <f t="shared" si="1"/>
        <v>#VALUE!</v>
      </c>
      <c r="L27" s="104" t="e">
        <f t="shared" si="1"/>
        <v>#VALUE!</v>
      </c>
      <c r="M27" s="239">
        <v>0</v>
      </c>
      <c r="N27" s="342" t="e">
        <f>C59</f>
        <v>#VALUE!</v>
      </c>
      <c r="O27" s="546" t="e">
        <f>L23</f>
        <v>#VALUE!</v>
      </c>
      <c r="P27" s="543"/>
      <c r="Q27" s="543"/>
    </row>
    <row r="28" spans="1:17" ht="12.75">
      <c r="A28" s="542">
        <v>3</v>
      </c>
      <c r="B28" s="107" t="str">
        <f t="shared" si="1"/>
        <v>X</v>
      </c>
      <c r="C28" s="104" t="str">
        <f t="shared" si="1"/>
        <v>X</v>
      </c>
      <c r="D28" s="104" t="str">
        <f t="shared" si="1"/>
        <v>X</v>
      </c>
      <c r="E28" s="104" t="str">
        <f t="shared" si="1"/>
        <v>X</v>
      </c>
      <c r="F28" s="104" t="e">
        <f t="shared" si="1"/>
        <v>#VALUE!</v>
      </c>
      <c r="G28" s="104" t="e">
        <f t="shared" si="1"/>
        <v>#VALUE!</v>
      </c>
      <c r="H28" s="104" t="e">
        <f t="shared" si="1"/>
        <v>#VALUE!</v>
      </c>
      <c r="I28" s="104" t="e">
        <f t="shared" si="1"/>
        <v>#VALUE!</v>
      </c>
      <c r="J28" s="104" t="e">
        <f t="shared" si="1"/>
        <v>#VALUE!</v>
      </c>
      <c r="K28" s="104" t="e">
        <f t="shared" si="1"/>
        <v>#VALUE!</v>
      </c>
      <c r="L28" s="238">
        <v>0</v>
      </c>
      <c r="M28" s="110"/>
      <c r="N28" s="342" t="e">
        <f>C58</f>
        <v>#VALUE!</v>
      </c>
      <c r="O28" s="546" t="e">
        <f>K23</f>
        <v>#VALUE!</v>
      </c>
      <c r="P28" s="543"/>
      <c r="Q28" s="543"/>
    </row>
    <row r="29" spans="1:17" ht="12.75">
      <c r="A29" s="542">
        <v>4</v>
      </c>
      <c r="B29" s="107" t="str">
        <f t="shared" si="1"/>
        <v>X</v>
      </c>
      <c r="C29" s="104" t="str">
        <f t="shared" si="1"/>
        <v>X</v>
      </c>
      <c r="D29" s="104" t="str">
        <f t="shared" si="1"/>
        <v>X</v>
      </c>
      <c r="E29" s="104" t="str">
        <f t="shared" si="1"/>
        <v>X</v>
      </c>
      <c r="F29" s="104" t="e">
        <f t="shared" si="1"/>
        <v>#VALUE!</v>
      </c>
      <c r="G29" s="104" t="e">
        <f t="shared" si="1"/>
        <v>#VALUE!</v>
      </c>
      <c r="H29" s="104" t="e">
        <f t="shared" si="1"/>
        <v>#VALUE!</v>
      </c>
      <c r="I29" s="104" t="e">
        <f t="shared" si="1"/>
        <v>#VALUE!</v>
      </c>
      <c r="J29" s="104" t="e">
        <f t="shared" si="1"/>
        <v>#VALUE!</v>
      </c>
      <c r="K29" s="238">
        <v>0</v>
      </c>
      <c r="L29" s="111"/>
      <c r="M29" s="110"/>
      <c r="N29" s="342" t="e">
        <f>C57</f>
        <v>#VALUE!</v>
      </c>
      <c r="O29" s="546" t="e">
        <f>J23</f>
        <v>#VALUE!</v>
      </c>
      <c r="P29" s="543"/>
      <c r="Q29" s="543"/>
    </row>
    <row r="30" spans="1:17" ht="12.75">
      <c r="A30" s="542">
        <v>5</v>
      </c>
      <c r="B30" s="107" t="str">
        <f t="shared" si="1"/>
        <v>X</v>
      </c>
      <c r="C30" s="104" t="str">
        <f t="shared" si="1"/>
        <v>X</v>
      </c>
      <c r="D30" s="104" t="str">
        <f t="shared" si="1"/>
        <v>X</v>
      </c>
      <c r="E30" s="104" t="str">
        <f t="shared" si="1"/>
        <v>X</v>
      </c>
      <c r="F30" s="104" t="e">
        <f t="shared" si="1"/>
        <v>#VALUE!</v>
      </c>
      <c r="G30" s="104" t="e">
        <f t="shared" si="1"/>
        <v>#VALUE!</v>
      </c>
      <c r="H30" s="104" t="e">
        <f t="shared" si="1"/>
        <v>#VALUE!</v>
      </c>
      <c r="I30" s="104" t="e">
        <f t="shared" si="1"/>
        <v>#VALUE!</v>
      </c>
      <c r="J30" s="238">
        <v>0</v>
      </c>
      <c r="K30" s="111"/>
      <c r="L30" s="111"/>
      <c r="M30" s="110"/>
      <c r="N30" s="342" t="e">
        <f>C56</f>
        <v>#VALUE!</v>
      </c>
      <c r="O30" s="546" t="e">
        <f>I23</f>
        <v>#VALUE!</v>
      </c>
      <c r="P30" s="543"/>
      <c r="Q30" s="543"/>
    </row>
    <row r="31" spans="1:17" ht="12.75">
      <c r="A31" s="542">
        <v>6</v>
      </c>
      <c r="B31" s="107" t="str">
        <f t="shared" si="1"/>
        <v>X</v>
      </c>
      <c r="C31" s="104" t="str">
        <f t="shared" si="1"/>
        <v>X</v>
      </c>
      <c r="D31" s="104" t="str">
        <f t="shared" si="1"/>
        <v>X</v>
      </c>
      <c r="E31" s="104" t="str">
        <f t="shared" si="1"/>
        <v>X</v>
      </c>
      <c r="F31" s="104" t="e">
        <f t="shared" si="1"/>
        <v>#VALUE!</v>
      </c>
      <c r="G31" s="104" t="e">
        <f t="shared" si="1"/>
        <v>#VALUE!</v>
      </c>
      <c r="H31" s="104" t="e">
        <f t="shared" si="1"/>
        <v>#VALUE!</v>
      </c>
      <c r="I31" s="238">
        <v>0</v>
      </c>
      <c r="J31" s="111"/>
      <c r="K31" s="111"/>
      <c r="L31" s="111"/>
      <c r="M31" s="110"/>
      <c r="N31" s="342" t="e">
        <f>C55</f>
        <v>#VALUE!</v>
      </c>
      <c r="O31" s="546" t="e">
        <f>H23</f>
        <v>#VALUE!</v>
      </c>
      <c r="P31" s="543"/>
      <c r="Q31" s="543"/>
    </row>
    <row r="32" spans="1:17" ht="12.75">
      <c r="A32" s="542">
        <v>7</v>
      </c>
      <c r="B32" s="107" t="str">
        <f t="shared" si="1"/>
        <v>X</v>
      </c>
      <c r="C32" s="104" t="str">
        <f t="shared" si="1"/>
        <v>X</v>
      </c>
      <c r="D32" s="104" t="str">
        <f t="shared" si="1"/>
        <v>X</v>
      </c>
      <c r="E32" s="104" t="str">
        <f t="shared" si="1"/>
        <v>X</v>
      </c>
      <c r="F32" s="104" t="e">
        <f t="shared" si="1"/>
        <v>#VALUE!</v>
      </c>
      <c r="G32" s="104" t="e">
        <f t="shared" si="1"/>
        <v>#VALUE!</v>
      </c>
      <c r="H32" s="238">
        <v>0</v>
      </c>
      <c r="I32" s="111"/>
      <c r="J32" s="111"/>
      <c r="K32" s="111"/>
      <c r="L32" s="111"/>
      <c r="M32" s="110"/>
      <c r="N32" s="342" t="e">
        <f>C54</f>
        <v>#VALUE!</v>
      </c>
      <c r="O32" s="546" t="e">
        <f>G23</f>
        <v>#VALUE!</v>
      </c>
      <c r="P32" s="543"/>
      <c r="Q32" s="543"/>
    </row>
    <row r="33" spans="1:17" ht="12.75">
      <c r="A33" s="542">
        <v>8</v>
      </c>
      <c r="B33" s="107" t="str">
        <f t="shared" si="1"/>
        <v>X</v>
      </c>
      <c r="C33" s="104" t="str">
        <f t="shared" si="1"/>
        <v>X</v>
      </c>
      <c r="D33" s="104" t="str">
        <f t="shared" si="1"/>
        <v>X</v>
      </c>
      <c r="E33" s="104" t="str">
        <f t="shared" si="1"/>
        <v>X</v>
      </c>
      <c r="F33" s="104" t="e">
        <f t="shared" si="1"/>
        <v>#VALUE!</v>
      </c>
      <c r="G33" s="238">
        <v>0</v>
      </c>
      <c r="H33" s="111"/>
      <c r="I33" s="111"/>
      <c r="J33" s="111"/>
      <c r="K33" s="111"/>
      <c r="L33" s="111"/>
      <c r="M33" s="110"/>
      <c r="N33" s="342" t="e">
        <f>C53</f>
        <v>#VALUE!</v>
      </c>
      <c r="O33" s="546" t="e">
        <f>F23</f>
        <v>#VALUE!</v>
      </c>
      <c r="P33" s="543"/>
      <c r="Q33" s="543"/>
    </row>
    <row r="34" spans="1:17" ht="12.75">
      <c r="A34" s="542">
        <v>9</v>
      </c>
      <c r="B34" s="107" t="str">
        <f t="shared" si="1"/>
        <v>X</v>
      </c>
      <c r="C34" s="104" t="str">
        <f t="shared" si="1"/>
        <v>X</v>
      </c>
      <c r="D34" s="104" t="str">
        <f t="shared" si="1"/>
        <v>X</v>
      </c>
      <c r="E34" s="104" t="str">
        <f t="shared" si="1"/>
        <v>X</v>
      </c>
      <c r="F34" s="238">
        <v>0</v>
      </c>
      <c r="G34" s="111"/>
      <c r="H34" s="111"/>
      <c r="I34" s="111"/>
      <c r="J34" s="111"/>
      <c r="K34" s="111"/>
      <c r="L34" s="111"/>
      <c r="M34" s="110"/>
      <c r="N34" s="342" t="str">
        <f>C52</f>
        <v> </v>
      </c>
      <c r="O34" s="546" t="str">
        <f>E23</f>
        <v> </v>
      </c>
      <c r="P34" s="543"/>
      <c r="Q34" s="543"/>
    </row>
    <row r="35" spans="1:17" ht="12.75">
      <c r="A35" s="542">
        <v>10</v>
      </c>
      <c r="B35" s="107" t="str">
        <f t="shared" si="1"/>
        <v>X</v>
      </c>
      <c r="C35" s="104" t="str">
        <f t="shared" si="1"/>
        <v>X</v>
      </c>
      <c r="D35" s="104" t="str">
        <f t="shared" si="1"/>
        <v>X</v>
      </c>
      <c r="E35" s="238">
        <v>0</v>
      </c>
      <c r="F35" s="111"/>
      <c r="G35" s="111"/>
      <c r="H35" s="111"/>
      <c r="I35" s="111"/>
      <c r="J35" s="111"/>
      <c r="K35" s="111"/>
      <c r="L35" s="111"/>
      <c r="M35" s="110"/>
      <c r="N35" s="342" t="str">
        <f>C51</f>
        <v> </v>
      </c>
      <c r="O35" s="546" t="str">
        <f>D23</f>
        <v> </v>
      </c>
      <c r="P35" s="543"/>
      <c r="Q35" s="543"/>
    </row>
    <row r="36" spans="1:17" ht="12.75">
      <c r="A36" s="542">
        <v>11</v>
      </c>
      <c r="B36" s="107" t="str">
        <f t="shared" si="1"/>
        <v>X</v>
      </c>
      <c r="C36" s="104" t="str">
        <f t="shared" si="1"/>
        <v>X</v>
      </c>
      <c r="D36" s="238">
        <v>0</v>
      </c>
      <c r="E36" s="111"/>
      <c r="F36" s="111"/>
      <c r="G36" s="111"/>
      <c r="H36" s="111"/>
      <c r="I36" s="111"/>
      <c r="J36" s="111"/>
      <c r="K36" s="111"/>
      <c r="L36" s="111"/>
      <c r="M36" s="110"/>
      <c r="N36" s="343" t="str">
        <f>C50</f>
        <v> </v>
      </c>
      <c r="O36" s="546" t="str">
        <f>C23</f>
        <v> </v>
      </c>
      <c r="P36" s="543"/>
      <c r="Q36" s="543"/>
    </row>
    <row r="37" spans="1:17" ht="13.5" thickBot="1">
      <c r="A37" s="542">
        <v>12</v>
      </c>
      <c r="B37" s="108" t="str">
        <f t="shared" si="1"/>
        <v>X</v>
      </c>
      <c r="C37" s="240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2"/>
      <c r="N37" s="344" t="str">
        <f>C49</f>
        <v> </v>
      </c>
      <c r="O37" s="546" t="str">
        <f>B23</f>
        <v> </v>
      </c>
      <c r="P37" s="543"/>
      <c r="Q37" s="543"/>
    </row>
    <row r="38" spans="1:15" ht="12.75">
      <c r="A38" s="224"/>
      <c r="B38" s="544">
        <v>12</v>
      </c>
      <c r="C38" s="544">
        <v>11</v>
      </c>
      <c r="D38" s="544">
        <v>10</v>
      </c>
      <c r="E38" s="544">
        <v>9</v>
      </c>
      <c r="F38" s="544">
        <v>8</v>
      </c>
      <c r="G38" s="544">
        <v>7</v>
      </c>
      <c r="H38" s="544">
        <v>6</v>
      </c>
      <c r="I38" s="544">
        <v>5</v>
      </c>
      <c r="J38" s="544">
        <v>4</v>
      </c>
      <c r="K38" s="544">
        <v>3</v>
      </c>
      <c r="L38" s="544">
        <v>2</v>
      </c>
      <c r="M38" s="544">
        <v>1</v>
      </c>
      <c r="N38" s="545"/>
      <c r="O38" s="545"/>
    </row>
    <row r="39" ht="13.5" thickBot="1"/>
    <row r="40" spans="2:8" ht="13.5" thickBot="1">
      <c r="B40" t="s">
        <v>3</v>
      </c>
      <c r="F40" s="92" t="e">
        <f>MAX(H49:H60)</f>
        <v>#VALUE!</v>
      </c>
      <c r="H40" t="s">
        <v>35</v>
      </c>
    </row>
    <row r="41" spans="6:11" ht="13.5" thickBot="1">
      <c r="F41" s="91"/>
      <c r="H41" t="s">
        <v>36</v>
      </c>
      <c r="K41" s="93">
        <f>Input!F10</f>
        <v>7</v>
      </c>
    </row>
    <row r="42" spans="2:11" ht="13.5" thickBot="1">
      <c r="B42" t="s">
        <v>43</v>
      </c>
      <c r="F42" s="92">
        <f>Input!F16+0.001</f>
        <v>8.001</v>
      </c>
      <c r="H42" t="s">
        <v>37</v>
      </c>
      <c r="K42" s="94">
        <f>Input!F11</f>
        <v>1</v>
      </c>
    </row>
    <row r="43" spans="2:11" ht="13.5" thickBot="1">
      <c r="B43" t="s">
        <v>251</v>
      </c>
      <c r="H43" t="s">
        <v>44</v>
      </c>
      <c r="K43" s="95">
        <f>K41-K42+1</f>
        <v>7</v>
      </c>
    </row>
    <row r="44" ht="12.75">
      <c r="F44" s="8"/>
    </row>
    <row r="45" spans="2:16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3.5" thickBot="1">
      <c r="B46" s="75"/>
      <c r="C46" s="77" t="s">
        <v>57</v>
      </c>
      <c r="D46" s="47"/>
      <c r="E46" s="48"/>
      <c r="F46" s="49"/>
      <c r="G46" s="47"/>
      <c r="H46" s="47"/>
      <c r="I46" s="4"/>
      <c r="J46" s="76"/>
      <c r="K46" s="5"/>
      <c r="L46" s="5"/>
      <c r="M46" s="5"/>
      <c r="N46" s="5"/>
      <c r="O46" s="5"/>
      <c r="P46" s="5"/>
    </row>
    <row r="47" spans="2:16" ht="12.75">
      <c r="B47" s="78"/>
      <c r="C47" s="218" t="s">
        <v>152</v>
      </c>
      <c r="D47" s="219"/>
      <c r="E47" s="33" t="s">
        <v>24</v>
      </c>
      <c r="F47" s="20" t="s">
        <v>26</v>
      </c>
      <c r="G47" s="79" t="s">
        <v>32</v>
      </c>
      <c r="H47" s="20" t="s">
        <v>53</v>
      </c>
      <c r="I47" s="150" t="s">
        <v>256</v>
      </c>
      <c r="J47" s="151"/>
      <c r="K47" s="148" t="s">
        <v>108</v>
      </c>
      <c r="L47" s="5"/>
      <c r="M47" s="5"/>
      <c r="N47" s="5"/>
      <c r="O47" s="5"/>
      <c r="P47" s="5"/>
    </row>
    <row r="48" spans="2:16" ht="13.5" thickBot="1">
      <c r="B48" s="72" t="s">
        <v>56</v>
      </c>
      <c r="C48" s="149" t="s">
        <v>107</v>
      </c>
      <c r="D48" s="149" t="s">
        <v>153</v>
      </c>
      <c r="E48" s="34" t="s">
        <v>25</v>
      </c>
      <c r="F48" s="22" t="s">
        <v>27</v>
      </c>
      <c r="G48" s="66" t="s">
        <v>33</v>
      </c>
      <c r="H48" s="22" t="s">
        <v>54</v>
      </c>
      <c r="I48" s="18" t="s">
        <v>28</v>
      </c>
      <c r="J48" s="80" t="s">
        <v>29</v>
      </c>
      <c r="K48" s="152" t="s">
        <v>109</v>
      </c>
      <c r="L48" s="5"/>
      <c r="M48" s="5"/>
      <c r="N48" s="5"/>
      <c r="O48" s="5"/>
      <c r="P48" s="5"/>
    </row>
    <row r="49" spans="2:16" ht="12.75">
      <c r="B49" s="241" t="str">
        <f>IF(Means!$B83&gt;$F$42," ",Means!B83)</f>
        <v> </v>
      </c>
      <c r="C49" s="345" t="str">
        <f>IF(Means!$B83&gt;$F$42," ",Means!C83)</f>
        <v> </v>
      </c>
      <c r="D49" s="346" t="str">
        <f>IF(Means!$C83&gt;$L$12," ",IF(Means!$C83&lt;7,Means!K83,Means!L83))</f>
        <v> </v>
      </c>
      <c r="E49" s="242" t="str">
        <f>IF(Means!$B83&gt;$F$42," ",Means!D83)</f>
        <v> </v>
      </c>
      <c r="F49" s="243" t="str">
        <f>IF(Means!$B83&gt;$F$42," ",Means!E83)</f>
        <v> </v>
      </c>
      <c r="G49" s="244" t="str">
        <f>IF(Means!$B83&gt;$F$42," ",Means!F83)</f>
        <v> </v>
      </c>
      <c r="H49" s="244" t="str">
        <f>IF(Means!$B83&gt;$F$42," ",Means!G83)</f>
        <v> </v>
      </c>
      <c r="I49" s="242" t="str">
        <f>IF(Means!$B83&gt;$F$42," ",Means!H83)</f>
        <v> </v>
      </c>
      <c r="J49" s="242" t="str">
        <f>IF(Means!$B83&gt;$F$42," ",Means!I83)</f>
        <v> </v>
      </c>
      <c r="K49" s="241" t="str">
        <f>IF(Means!$B83&gt;$F$42," ",Means!J83)</f>
        <v> </v>
      </c>
      <c r="N49" s="5"/>
      <c r="O49" s="5"/>
      <c r="P49" s="5"/>
    </row>
    <row r="50" spans="2:16" ht="12.75">
      <c r="B50" s="245" t="str">
        <f>IF(Means!$B84&gt;$F$42," ",Means!B84)</f>
        <v> </v>
      </c>
      <c r="C50" s="347" t="str">
        <f>IF(Means!$B84&gt;$F$42," ",Means!C84)</f>
        <v> </v>
      </c>
      <c r="D50" s="348" t="str">
        <f>IF(Means!$C84&gt;$L$12," ",IF(Means!$C84&lt;7,Means!K84,Means!L84))</f>
        <v> </v>
      </c>
      <c r="E50" s="246" t="str">
        <f>IF(Means!$B84&gt;$F$42," ",Means!D84)</f>
        <v> </v>
      </c>
      <c r="F50" s="247" t="str">
        <f>IF(Means!$B84&gt;$F$42," ",Means!E84)</f>
        <v> </v>
      </c>
      <c r="G50" s="248" t="str">
        <f>IF(Means!$B84&gt;$F$42," ",Means!F84)</f>
        <v> </v>
      </c>
      <c r="H50" s="248" t="str">
        <f>IF(Means!$B84&gt;$F$42," ",Means!G84)</f>
        <v> </v>
      </c>
      <c r="I50" s="246" t="str">
        <f>IF(Means!$B84&gt;$F$42," ",Means!H84)</f>
        <v> </v>
      </c>
      <c r="J50" s="246" t="str">
        <f>IF(Means!$B84&gt;$F$42," ",Means!I84)</f>
        <v> </v>
      </c>
      <c r="K50" s="245" t="str">
        <f>IF(Means!$B84&gt;$F$42," ",Means!J84)</f>
        <v> </v>
      </c>
      <c r="N50" s="5"/>
      <c r="O50" s="5"/>
      <c r="P50" s="5"/>
    </row>
    <row r="51" spans="2:16" ht="12.75">
      <c r="B51" s="245" t="str">
        <f>IF(Means!$B85&gt;$F$42," ",Means!B85)</f>
        <v> </v>
      </c>
      <c r="C51" s="347" t="str">
        <f>IF(Means!$B85&gt;$F$42," ",Means!C85)</f>
        <v> </v>
      </c>
      <c r="D51" s="348" t="str">
        <f>IF(Means!$C85&gt;$L$12," ",IF(Means!$C85&lt;7,Means!K85,Means!L85))</f>
        <v> </v>
      </c>
      <c r="E51" s="246" t="str">
        <f>IF(Means!$B85&gt;$F$42," ",Means!D85)</f>
        <v> </v>
      </c>
      <c r="F51" s="247" t="str">
        <f>IF(Means!$B85&gt;$F$42," ",Means!E85)</f>
        <v> </v>
      </c>
      <c r="G51" s="248" t="str">
        <f>IF(Means!$B85&gt;$F$42," ",Means!F85)</f>
        <v> </v>
      </c>
      <c r="H51" s="248" t="str">
        <f>IF(Means!$B85&gt;$F$42," ",Means!G85)</f>
        <v> </v>
      </c>
      <c r="I51" s="246" t="str">
        <f>IF(Means!$B85&gt;$F$42," ",Means!H85)</f>
        <v> </v>
      </c>
      <c r="J51" s="246" t="str">
        <f>IF(Means!$B85&gt;$F$42," ",Means!I85)</f>
        <v> </v>
      </c>
      <c r="K51" s="245" t="str">
        <f>IF(Means!$B85&gt;$F$42," ",Means!J85)</f>
        <v> </v>
      </c>
      <c r="N51" s="5"/>
      <c r="O51" s="5"/>
      <c r="P51" s="5"/>
    </row>
    <row r="52" spans="2:16" ht="12.75">
      <c r="B52" s="245" t="str">
        <f>IF(Means!$B86&gt;$F$42," ",Means!B86)</f>
        <v> </v>
      </c>
      <c r="C52" s="347" t="str">
        <f>IF(Means!$B86&gt;$F$42," ",Means!C86)</f>
        <v> </v>
      </c>
      <c r="D52" s="348" t="str">
        <f>IF(Means!$C86&gt;$L$12," ",IF(Means!$C86&lt;7,Means!K86,Means!L86))</f>
        <v> </v>
      </c>
      <c r="E52" s="246" t="str">
        <f>IF(Means!$B86&gt;$F$42," ",Means!D86)</f>
        <v> </v>
      </c>
      <c r="F52" s="247" t="str">
        <f>IF(Means!$B86&gt;$F$42," ",Means!E86)</f>
        <v> </v>
      </c>
      <c r="G52" s="248" t="str">
        <f>IF(Means!$B86&gt;$F$42," ",Means!F86)</f>
        <v> </v>
      </c>
      <c r="H52" s="248" t="str">
        <f>IF(Means!$B86&gt;$F$42," ",Means!G86)</f>
        <v> </v>
      </c>
      <c r="I52" s="246" t="str">
        <f>IF(Means!$B86&gt;$F$42," ",Means!H86)</f>
        <v> </v>
      </c>
      <c r="J52" s="246" t="str">
        <f>IF(Means!$B86&gt;$F$42," ",Means!I86)</f>
        <v> </v>
      </c>
      <c r="K52" s="245" t="str">
        <f>IF(Means!$B86&gt;$F$42," ",Means!J86)</f>
        <v> </v>
      </c>
      <c r="N52" s="5"/>
      <c r="O52" s="5"/>
      <c r="P52" s="5"/>
    </row>
    <row r="53" spans="2:16" ht="12.75">
      <c r="B53" s="245">
        <f>IF(Means!$B87&gt;$F$42," ",Means!B87)</f>
        <v>8</v>
      </c>
      <c r="C53" s="347" t="e">
        <f>IF(Means!$B87&gt;$F$42," ",Means!C87)</f>
        <v>#VALUE!</v>
      </c>
      <c r="D53" s="348" t="e">
        <f>IF(Means!$C87&gt;$L$12," ",IF(Means!$C87&lt;7,Means!K87,Means!L87))</f>
        <v>#VALUE!</v>
      </c>
      <c r="E53" s="246" t="e">
        <f>IF(Means!$B87&gt;$F$42," ",Means!D87)</f>
        <v>#VALUE!</v>
      </c>
      <c r="F53" s="247" t="e">
        <f>IF(Means!$B87&gt;$F$42," ",Means!E87)</f>
        <v>#VALUE!</v>
      </c>
      <c r="G53" s="248" t="e">
        <f>IF(Means!$B87&gt;$F$42," ",Means!F87)</f>
        <v>#VALUE!</v>
      </c>
      <c r="H53" s="248" t="e">
        <f>IF(Means!$B87&gt;$F$42," ",Means!G87)</f>
        <v>#VALUE!</v>
      </c>
      <c r="I53" s="246" t="e">
        <f>IF(Means!$B87&gt;$F$42," ",Means!H87)</f>
        <v>#VALUE!</v>
      </c>
      <c r="J53" s="246" t="e">
        <f>IF(Means!$B87&gt;$F$42," ",Means!I87)</f>
        <v>#VALUE!</v>
      </c>
      <c r="K53" s="245">
        <f>IF(Means!$B87&gt;$F$42," ",Means!J87)</f>
        <v>1</v>
      </c>
      <c r="N53" s="5"/>
      <c r="O53" s="5"/>
      <c r="P53" s="5"/>
    </row>
    <row r="54" spans="2:16" ht="12.75">
      <c r="B54" s="245">
        <f>IF(Means!$B88&gt;$F$42," ",Means!B88)</f>
        <v>7</v>
      </c>
      <c r="C54" s="347" t="e">
        <f>IF(Means!$B88&gt;$F$42," ",Means!C88)</f>
        <v>#VALUE!</v>
      </c>
      <c r="D54" s="348" t="e">
        <f>IF(Means!$C88&gt;$L$12," ",IF(Means!$C88&lt;7,Means!K88,Means!L88))</f>
        <v>#VALUE!</v>
      </c>
      <c r="E54" s="246" t="e">
        <f>IF(Means!$B88&gt;$F$42," ",Means!D88)</f>
        <v>#VALUE!</v>
      </c>
      <c r="F54" s="247" t="e">
        <f>IF(Means!$B88&gt;$F$42," ",Means!E88)</f>
        <v>#VALUE!</v>
      </c>
      <c r="G54" s="248" t="e">
        <f>IF(Means!$B88&gt;$F$42," ",Means!F88)</f>
        <v>#VALUE!</v>
      </c>
      <c r="H54" s="248" t="e">
        <f>IF(Means!$B88&gt;$F$42," ",Means!G88)</f>
        <v>#VALUE!</v>
      </c>
      <c r="I54" s="246" t="e">
        <f>IF(Means!$B88&gt;$F$42," ",Means!H88)</f>
        <v>#VALUE!</v>
      </c>
      <c r="J54" s="246" t="e">
        <f>IF(Means!$B88&gt;$F$42," ",Means!I88)</f>
        <v>#VALUE!</v>
      </c>
      <c r="K54" s="245">
        <f>IF(Means!$B88&gt;$F$42," ",Means!J88)</f>
        <v>2</v>
      </c>
      <c r="L54" s="5"/>
      <c r="M54" s="5"/>
      <c r="N54" s="5"/>
      <c r="O54" s="5"/>
      <c r="P54" s="5"/>
    </row>
    <row r="55" spans="2:16" ht="12.75">
      <c r="B55" s="245">
        <f>IF(Means!$B89&gt;$F$42," ",Means!B89)</f>
        <v>6</v>
      </c>
      <c r="C55" s="347" t="e">
        <f>IF(Means!$B89&gt;$F$42," ",Means!C89)</f>
        <v>#VALUE!</v>
      </c>
      <c r="D55" s="348" t="e">
        <f>IF(Means!$C89&gt;$L$12," ",IF(Means!$C89&lt;7,Means!K89,Means!L89))</f>
        <v>#VALUE!</v>
      </c>
      <c r="E55" s="246" t="e">
        <f>IF(Means!$B89&gt;$F$42," ",Means!D89)</f>
        <v>#VALUE!</v>
      </c>
      <c r="F55" s="247" t="e">
        <f>IF(Means!$B89&gt;$F$42," ",Means!E89)</f>
        <v>#VALUE!</v>
      </c>
      <c r="G55" s="248" t="e">
        <f>IF(Means!$B89&gt;$F$42," ",Means!F89)</f>
        <v>#VALUE!</v>
      </c>
      <c r="H55" s="248" t="e">
        <f>IF(Means!$B89&gt;$F$42," ",Means!G89)</f>
        <v>#VALUE!</v>
      </c>
      <c r="I55" s="246" t="e">
        <f>IF(Means!$B89&gt;$F$42," ",Means!H89)</f>
        <v>#VALUE!</v>
      </c>
      <c r="J55" s="246" t="e">
        <f>IF(Means!$B89&gt;$F$42," ",Means!I89)</f>
        <v>#VALUE!</v>
      </c>
      <c r="K55" s="245">
        <f>IF(Means!$B89&gt;$F$42," ",Means!J89)</f>
        <v>3</v>
      </c>
      <c r="L55" s="5"/>
      <c r="M55" s="5"/>
      <c r="N55" s="5"/>
      <c r="O55" s="5"/>
      <c r="P55" s="5"/>
    </row>
    <row r="56" spans="2:16" ht="12.75">
      <c r="B56" s="245">
        <f>IF(Means!$B90&gt;$F$42," ",Means!B90)</f>
        <v>5</v>
      </c>
      <c r="C56" s="347" t="e">
        <f>IF(Means!$B90&gt;$F$42," ",Means!C90)</f>
        <v>#VALUE!</v>
      </c>
      <c r="D56" s="348" t="e">
        <f>IF(Means!$C90&gt;$L$12," ",IF(Means!$C90&lt;7,Means!K90,Means!L90))</f>
        <v>#VALUE!</v>
      </c>
      <c r="E56" s="246" t="e">
        <f>IF(Means!$B90&gt;$F$42," ",Means!D90)</f>
        <v>#VALUE!</v>
      </c>
      <c r="F56" s="247" t="e">
        <f>IF(Means!$B90&gt;$F$42," ",Means!E90)</f>
        <v>#VALUE!</v>
      </c>
      <c r="G56" s="248" t="e">
        <f>IF(Means!$B90&gt;$F$42," ",Means!F90)</f>
        <v>#VALUE!</v>
      </c>
      <c r="H56" s="248" t="e">
        <f>IF(Means!$B90&gt;$F$42," ",Means!G90)</f>
        <v>#VALUE!</v>
      </c>
      <c r="I56" s="246" t="e">
        <f>IF(Means!$B90&gt;$F$42," ",Means!H90)</f>
        <v>#VALUE!</v>
      </c>
      <c r="J56" s="246" t="e">
        <f>IF(Means!$B90&gt;$F$42," ",Means!I90)</f>
        <v>#VALUE!</v>
      </c>
      <c r="K56" s="245">
        <f>IF(Means!$B90&gt;$F$42," ",Means!J90)</f>
        <v>4</v>
      </c>
      <c r="L56" s="5"/>
      <c r="M56" s="5"/>
      <c r="N56" s="5"/>
      <c r="O56" s="5"/>
      <c r="P56" s="5"/>
    </row>
    <row r="57" spans="2:16" ht="12.75">
      <c r="B57" s="245">
        <f>IF(Means!$B91&gt;$F$42," ",Means!B91)</f>
        <v>4</v>
      </c>
      <c r="C57" s="347" t="e">
        <f>IF(Means!$B91&gt;$F$42," ",Means!C91)</f>
        <v>#VALUE!</v>
      </c>
      <c r="D57" s="348" t="e">
        <f>IF(Means!$C91&gt;$L$12," ",IF(Means!$C91&lt;7,Means!K91,Means!L91))</f>
        <v>#VALUE!</v>
      </c>
      <c r="E57" s="246" t="e">
        <f>IF(Means!$B91&gt;$F$42," ",Means!D91)</f>
        <v>#VALUE!</v>
      </c>
      <c r="F57" s="247" t="e">
        <f>IF(Means!$B91&gt;$F$42," ",Means!E91)</f>
        <v>#VALUE!</v>
      </c>
      <c r="G57" s="248" t="e">
        <f>IF(Means!$B91&gt;$F$42," ",Means!F91)</f>
        <v>#VALUE!</v>
      </c>
      <c r="H57" s="248" t="e">
        <f>IF(Means!$B91&gt;$F$42," ",Means!G91)</f>
        <v>#VALUE!</v>
      </c>
      <c r="I57" s="246" t="e">
        <f>IF(Means!$B91&gt;$F$42," ",Means!H91)</f>
        <v>#VALUE!</v>
      </c>
      <c r="J57" s="246" t="e">
        <f>IF(Means!$B91&gt;$F$42," ",Means!I91)</f>
        <v>#VALUE!</v>
      </c>
      <c r="K57" s="245">
        <f>IF(Means!$B91&gt;$F$42," ",Means!J91)</f>
        <v>5</v>
      </c>
      <c r="L57" s="5"/>
      <c r="M57" s="5"/>
      <c r="N57" s="5"/>
      <c r="O57" s="5"/>
      <c r="P57" s="5"/>
    </row>
    <row r="58" spans="2:16" ht="12.75">
      <c r="B58" s="245">
        <f>IF(Means!$B92&gt;$F$42," ",Means!B92)</f>
        <v>3</v>
      </c>
      <c r="C58" s="347" t="e">
        <f>IF(Means!$B92&gt;$F$42," ",Means!C92)</f>
        <v>#VALUE!</v>
      </c>
      <c r="D58" s="348" t="e">
        <f>IF(Means!$C92&gt;$L$12," ",IF(Means!$C92&lt;7,Means!K92,Means!L92))</f>
        <v>#VALUE!</v>
      </c>
      <c r="E58" s="246" t="e">
        <f>IF(Means!$B92&gt;$F$42," ",Means!D92)</f>
        <v>#VALUE!</v>
      </c>
      <c r="F58" s="247" t="e">
        <f>IF(Means!$B92&gt;$F$42," ",Means!E92)</f>
        <v>#VALUE!</v>
      </c>
      <c r="G58" s="248" t="e">
        <f>IF(Means!$B92&gt;$F$42," ",Means!F92)</f>
        <v>#VALUE!</v>
      </c>
      <c r="H58" s="248" t="e">
        <f>IF(Means!$B92&gt;$F$42," ",Means!G92)</f>
        <v>#VALUE!</v>
      </c>
      <c r="I58" s="246" t="e">
        <f>IF(Means!$B92&gt;$F$42," ",Means!H92)</f>
        <v>#VALUE!</v>
      </c>
      <c r="J58" s="246" t="e">
        <f>IF(Means!$B92&gt;$F$42," ",Means!I92)</f>
        <v>#VALUE!</v>
      </c>
      <c r="K58" s="245">
        <f>IF(Means!$B92&gt;$F$42," ",Means!J92)</f>
        <v>6</v>
      </c>
      <c r="L58" s="5"/>
      <c r="M58" s="5"/>
      <c r="N58" s="5"/>
      <c r="O58" s="5"/>
      <c r="P58" s="5"/>
    </row>
    <row r="59" spans="2:16" ht="12.75">
      <c r="B59" s="245">
        <f>IF(Means!$B93&gt;$F$42," ",Means!B93)</f>
        <v>2</v>
      </c>
      <c r="C59" s="347" t="e">
        <f>IF(Means!$B93&gt;$F$42," ",Means!C93)</f>
        <v>#VALUE!</v>
      </c>
      <c r="D59" s="348" t="e">
        <f>IF(Means!$C93&gt;$L$12," ",IF(Means!$C93&lt;7,Means!K93,Means!L93))</f>
        <v>#VALUE!</v>
      </c>
      <c r="E59" s="246" t="e">
        <f>IF(Means!$B93&gt;$F$42," ",Means!D93)</f>
        <v>#VALUE!</v>
      </c>
      <c r="F59" s="247" t="e">
        <f>IF(Means!$B93&gt;$F$42," ",Means!E93)</f>
        <v>#VALUE!</v>
      </c>
      <c r="G59" s="248" t="e">
        <f>IF(Means!$B93&gt;$F$42," ",Means!F93)</f>
        <v>#VALUE!</v>
      </c>
      <c r="H59" s="248" t="e">
        <f>IF(Means!$B93&gt;$F$42," ",Means!G93)</f>
        <v>#VALUE!</v>
      </c>
      <c r="I59" s="246" t="e">
        <f>IF(Means!$B93&gt;$F$42," ",Means!H93)</f>
        <v>#VALUE!</v>
      </c>
      <c r="J59" s="246" t="e">
        <f>IF(Means!$B93&gt;$F$42," ",Means!I93)</f>
        <v>#VALUE!</v>
      </c>
      <c r="K59" s="245">
        <f>IF(Means!$B93&gt;$F$42," ",Means!J93)</f>
        <v>7</v>
      </c>
      <c r="L59" s="5"/>
      <c r="M59" s="5"/>
      <c r="N59" s="5"/>
      <c r="O59" s="5"/>
      <c r="P59" s="5"/>
    </row>
    <row r="60" spans="2:16" ht="13.5" thickBot="1">
      <c r="B60" s="249">
        <f>IF(Means!$B94&gt;$F$42," ",Means!B94)</f>
        <v>1</v>
      </c>
      <c r="C60" s="349" t="e">
        <f>IF(Means!$B94&gt;$F$42," ",Means!C94)</f>
        <v>#VALUE!</v>
      </c>
      <c r="D60" s="350" t="e">
        <f>IF(Means!$C94&gt;$L$12," ",IF(Means!$C94&lt;7,Means!K94,Means!L94))</f>
        <v>#VALUE!</v>
      </c>
      <c r="E60" s="250">
        <f>IF(Means!$B94&gt;$F$42," ",Means!D94)</f>
        <v>0</v>
      </c>
      <c r="F60" s="251" t="e">
        <f>IF(Means!$B94&gt;$F$42," ",Means!E94)</f>
        <v>#VALUE!</v>
      </c>
      <c r="G60" s="252" t="e">
        <f>IF(Means!$B94&gt;$F$42," ",Means!F94)</f>
        <v>#VALUE!</v>
      </c>
      <c r="H60" s="252" t="e">
        <f>IF(Means!$B94&gt;$F$42," ",Means!G94)</f>
        <v>#VALUE!</v>
      </c>
      <c r="I60" s="250" t="e">
        <f>IF(Means!$B94&gt;$F$42," ",Means!H94)</f>
        <v>#VALUE!</v>
      </c>
      <c r="J60" s="250" t="e">
        <f>IF(Means!$B94&gt;$F$42," ",Means!I94)</f>
        <v>#VALUE!</v>
      </c>
      <c r="K60" s="249">
        <f>IF(Means!$B94&gt;$F$42," ",Means!J94)</f>
        <v>8</v>
      </c>
      <c r="L60" s="5"/>
      <c r="M60" s="5"/>
      <c r="N60" s="5"/>
      <c r="O60" s="5"/>
      <c r="P60" s="5"/>
    </row>
    <row r="61" spans="2:16" ht="12.75">
      <c r="B61" s="55"/>
      <c r="C61" s="56"/>
      <c r="D61" s="57"/>
      <c r="E61" s="58"/>
      <c r="F61" s="59"/>
      <c r="G61" s="57"/>
      <c r="H61" s="57"/>
      <c r="I61" s="55"/>
      <c r="K61" s="5"/>
      <c r="L61" s="5"/>
      <c r="M61" s="5"/>
      <c r="N61" s="5"/>
      <c r="O61" s="5"/>
      <c r="P61" s="5"/>
    </row>
    <row r="62" spans="2:17" ht="13.5" thickBot="1">
      <c r="B62" t="s">
        <v>123</v>
      </c>
      <c r="Q62" s="135" t="s">
        <v>265</v>
      </c>
    </row>
    <row r="63" spans="2:13" ht="13.5" thickBot="1">
      <c r="B63" s="351">
        <v>12</v>
      </c>
      <c r="C63" s="352">
        <v>11</v>
      </c>
      <c r="D63" s="353">
        <v>10</v>
      </c>
      <c r="E63" s="353">
        <v>9</v>
      </c>
      <c r="F63" s="353">
        <v>8</v>
      </c>
      <c r="G63" s="353">
        <v>7</v>
      </c>
      <c r="H63" s="353">
        <v>6</v>
      </c>
      <c r="I63" s="353">
        <v>5</v>
      </c>
      <c r="J63" s="353">
        <v>4</v>
      </c>
      <c r="K63" s="353">
        <v>3</v>
      </c>
      <c r="L63" s="354">
        <v>2</v>
      </c>
      <c r="M63" t="s">
        <v>58</v>
      </c>
    </row>
    <row r="64" spans="2:13" ht="13.5" thickBot="1">
      <c r="B64" s="237" t="str">
        <f>F49</f>
        <v> </v>
      </c>
      <c r="C64" s="156" t="str">
        <f>F50</f>
        <v> </v>
      </c>
      <c r="D64" s="84" t="str">
        <f>F51</f>
        <v> </v>
      </c>
      <c r="E64" s="84" t="str">
        <f>F52</f>
        <v> </v>
      </c>
      <c r="F64" s="84" t="e">
        <f>F53</f>
        <v>#VALUE!</v>
      </c>
      <c r="G64" s="84" t="e">
        <f>F54</f>
        <v>#VALUE!</v>
      </c>
      <c r="H64" s="84" t="e">
        <f>F55</f>
        <v>#VALUE!</v>
      </c>
      <c r="I64" s="84" t="e">
        <f>F56</f>
        <v>#VALUE!</v>
      </c>
      <c r="J64" s="84" t="e">
        <f>F57</f>
        <v>#VALUE!</v>
      </c>
      <c r="K64" s="84" t="e">
        <f>F58</f>
        <v>#VALUE!</v>
      </c>
      <c r="L64" s="234" t="e">
        <f>F59</f>
        <v>#VALUE!</v>
      </c>
      <c r="M64" s="230" t="s">
        <v>59</v>
      </c>
    </row>
    <row r="65" spans="1:13" ht="12.75">
      <c r="A65" s="123">
        <v>1</v>
      </c>
      <c r="B65" s="86" t="str">
        <f>IF(OR(B$63&gt;$F$42,$A65&gt;$F$42),"  ",(TINV((1-$P$27)/($F$42*($F$42-1)),$F$40-$F$42))*(SQRT(B$64*B$64+$M65*$M65)))</f>
        <v>  </v>
      </c>
      <c r="C65" s="85" t="str">
        <f>IF(OR(C$63&gt;$F$42,$A65&gt;$F$42),"  ",(TINV((1-$P$21)/($F$42*($F$42-1)),$F$40-$F$42))*(SQRT(C$64*C$64+$M65*$M65)))</f>
        <v>  </v>
      </c>
      <c r="D65" s="85" t="str">
        <f>IF(OR(D$63&gt;$F$42,$A65&gt;$F$42),"  ",(TINV((1-$P$21)/($F$42*($F$42-1)),$F$40-$F$42))*(SQRT(D$64*D$64+$M65*$M65)))</f>
        <v>  </v>
      </c>
      <c r="E65" s="85" t="str">
        <f aca="true" t="shared" si="2" ref="E65:L72">IF(OR(E$63&gt;$F$42,$A65&gt;$F$42),"  ",(TINV((1-$P$21)/($F$42*($F$42-1)),$F$40-$F$42))*(SQRT(E$64*E$64+$M65*$M65)))</f>
        <v>  </v>
      </c>
      <c r="F65" s="85" t="e">
        <f t="shared" si="2"/>
        <v>#VALUE!</v>
      </c>
      <c r="G65" s="85" t="e">
        <f t="shared" si="2"/>
        <v>#VALUE!</v>
      </c>
      <c r="H65" s="85" t="e">
        <f t="shared" si="2"/>
        <v>#VALUE!</v>
      </c>
      <c r="I65" s="85" t="e">
        <f t="shared" si="2"/>
        <v>#VALUE!</v>
      </c>
      <c r="J65" s="85" t="e">
        <f t="shared" si="2"/>
        <v>#VALUE!</v>
      </c>
      <c r="K65" s="85" t="e">
        <f t="shared" si="2"/>
        <v>#VALUE!</v>
      </c>
      <c r="L65" s="87" t="e">
        <f t="shared" si="2"/>
        <v>#VALUE!</v>
      </c>
      <c r="M65" s="231" t="e">
        <f>F60</f>
        <v>#VALUE!</v>
      </c>
    </row>
    <row r="66" spans="1:13" ht="12.75">
      <c r="A66" s="229">
        <v>2</v>
      </c>
      <c r="B66" s="235" t="str">
        <f aca="true" t="shared" si="3" ref="B66:B75">IF(OR(B$63&gt;$F$42,$A66&gt;$F$42),"  ",(TINV((1-$P$27)/($F$42*($F$42-1)),$F$40-$F$42))*(SQRT(B$64*B$64+$M66*$M66)))</f>
        <v>  </v>
      </c>
      <c r="C66" s="88" t="str">
        <f aca="true" t="shared" si="4" ref="C66:D74">IF(OR(C$63&gt;$F$42,$A66&gt;$F$42),"  ",(TINV((1-$P$21)/($F$42*($F$42-1)),$F$40-$F$42))*(SQRT(C$64*C$64+$M66*$M66)))</f>
        <v>  </v>
      </c>
      <c r="D66" s="88" t="str">
        <f t="shared" si="4"/>
        <v>  </v>
      </c>
      <c r="E66" s="88" t="str">
        <f t="shared" si="2"/>
        <v>  </v>
      </c>
      <c r="F66" s="88" t="e">
        <f t="shared" si="2"/>
        <v>#VALUE!</v>
      </c>
      <c r="G66" s="88" t="e">
        <f t="shared" si="2"/>
        <v>#VALUE!</v>
      </c>
      <c r="H66" s="88" t="e">
        <f t="shared" si="2"/>
        <v>#VALUE!</v>
      </c>
      <c r="I66" s="88" t="e">
        <f t="shared" si="2"/>
        <v>#VALUE!</v>
      </c>
      <c r="J66" s="88" t="e">
        <f t="shared" si="2"/>
        <v>#VALUE!</v>
      </c>
      <c r="K66" s="88" t="e">
        <f t="shared" si="2"/>
        <v>#VALUE!</v>
      </c>
      <c r="L66" s="227"/>
      <c r="M66" s="232" t="e">
        <f>F59</f>
        <v>#VALUE!</v>
      </c>
    </row>
    <row r="67" spans="1:13" ht="12.75">
      <c r="A67" s="229">
        <v>3</v>
      </c>
      <c r="B67" s="235" t="str">
        <f t="shared" si="3"/>
        <v>  </v>
      </c>
      <c r="C67" s="88" t="str">
        <f t="shared" si="4"/>
        <v>  </v>
      </c>
      <c r="D67" s="88" t="str">
        <f t="shared" si="4"/>
        <v>  </v>
      </c>
      <c r="E67" s="88" t="str">
        <f t="shared" si="2"/>
        <v>  </v>
      </c>
      <c r="F67" s="88" t="e">
        <f t="shared" si="2"/>
        <v>#VALUE!</v>
      </c>
      <c r="G67" s="88" t="e">
        <f t="shared" si="2"/>
        <v>#VALUE!</v>
      </c>
      <c r="H67" s="88" t="e">
        <f t="shared" si="2"/>
        <v>#VALUE!</v>
      </c>
      <c r="I67" s="88" t="e">
        <f t="shared" si="2"/>
        <v>#VALUE!</v>
      </c>
      <c r="J67" s="88" t="e">
        <f t="shared" si="2"/>
        <v>#VALUE!</v>
      </c>
      <c r="K67" s="127"/>
      <c r="L67" s="227"/>
      <c r="M67" s="232" t="e">
        <f>F58</f>
        <v>#VALUE!</v>
      </c>
    </row>
    <row r="68" spans="1:13" ht="12.75">
      <c r="A68" s="229">
        <v>4</v>
      </c>
      <c r="B68" s="235" t="str">
        <f t="shared" si="3"/>
        <v>  </v>
      </c>
      <c r="C68" s="88" t="str">
        <f t="shared" si="4"/>
        <v>  </v>
      </c>
      <c r="D68" s="88" t="str">
        <f t="shared" si="4"/>
        <v>  </v>
      </c>
      <c r="E68" s="88" t="str">
        <f t="shared" si="2"/>
        <v>  </v>
      </c>
      <c r="F68" s="88" t="e">
        <f t="shared" si="2"/>
        <v>#VALUE!</v>
      </c>
      <c r="G68" s="88" t="e">
        <f t="shared" si="2"/>
        <v>#VALUE!</v>
      </c>
      <c r="H68" s="88" t="e">
        <f t="shared" si="2"/>
        <v>#VALUE!</v>
      </c>
      <c r="I68" s="88" t="e">
        <f t="shared" si="2"/>
        <v>#VALUE!</v>
      </c>
      <c r="J68" s="127"/>
      <c r="K68" s="127"/>
      <c r="L68" s="227"/>
      <c r="M68" s="232" t="e">
        <f>F57</f>
        <v>#VALUE!</v>
      </c>
    </row>
    <row r="69" spans="1:13" ht="12.75">
      <c r="A69" s="229">
        <v>5</v>
      </c>
      <c r="B69" s="235" t="str">
        <f t="shared" si="3"/>
        <v>  </v>
      </c>
      <c r="C69" s="88" t="str">
        <f t="shared" si="4"/>
        <v>  </v>
      </c>
      <c r="D69" s="88" t="str">
        <f t="shared" si="4"/>
        <v>  </v>
      </c>
      <c r="E69" s="88" t="str">
        <f t="shared" si="2"/>
        <v>  </v>
      </c>
      <c r="F69" s="88" t="e">
        <f t="shared" si="2"/>
        <v>#VALUE!</v>
      </c>
      <c r="G69" s="88" t="e">
        <f t="shared" si="2"/>
        <v>#VALUE!</v>
      </c>
      <c r="H69" s="88" t="e">
        <f t="shared" si="2"/>
        <v>#VALUE!</v>
      </c>
      <c r="I69" s="127"/>
      <c r="J69" s="127"/>
      <c r="K69" s="127"/>
      <c r="L69" s="227"/>
      <c r="M69" s="232" t="e">
        <f>F56</f>
        <v>#VALUE!</v>
      </c>
    </row>
    <row r="70" spans="1:13" ht="12.75">
      <c r="A70" s="229">
        <v>6</v>
      </c>
      <c r="B70" s="235" t="str">
        <f t="shared" si="3"/>
        <v>  </v>
      </c>
      <c r="C70" s="88" t="str">
        <f t="shared" si="4"/>
        <v>  </v>
      </c>
      <c r="D70" s="88" t="str">
        <f t="shared" si="4"/>
        <v>  </v>
      </c>
      <c r="E70" s="88" t="str">
        <f t="shared" si="2"/>
        <v>  </v>
      </c>
      <c r="F70" s="88" t="e">
        <f t="shared" si="2"/>
        <v>#VALUE!</v>
      </c>
      <c r="G70" s="88" t="e">
        <f t="shared" si="2"/>
        <v>#VALUE!</v>
      </c>
      <c r="H70" s="127"/>
      <c r="I70" s="127"/>
      <c r="J70" s="127"/>
      <c r="K70" s="127"/>
      <c r="L70" s="227"/>
      <c r="M70" s="232" t="e">
        <f>F55</f>
        <v>#VALUE!</v>
      </c>
    </row>
    <row r="71" spans="1:13" ht="12.75">
      <c r="A71" s="229">
        <v>7</v>
      </c>
      <c r="B71" s="235" t="str">
        <f t="shared" si="3"/>
        <v>  </v>
      </c>
      <c r="C71" s="88" t="str">
        <f t="shared" si="4"/>
        <v>  </v>
      </c>
      <c r="D71" s="88" t="str">
        <f t="shared" si="4"/>
        <v>  </v>
      </c>
      <c r="E71" s="88" t="str">
        <f t="shared" si="2"/>
        <v>  </v>
      </c>
      <c r="F71" s="88" t="e">
        <f t="shared" si="2"/>
        <v>#VALUE!</v>
      </c>
      <c r="G71" s="127"/>
      <c r="H71" s="127"/>
      <c r="I71" s="127"/>
      <c r="J71" s="127"/>
      <c r="K71" s="127"/>
      <c r="L71" s="227"/>
      <c r="M71" s="232" t="e">
        <f>F54</f>
        <v>#VALUE!</v>
      </c>
    </row>
    <row r="72" spans="1:13" ht="12.75">
      <c r="A72" s="229">
        <v>8</v>
      </c>
      <c r="B72" s="235" t="str">
        <f t="shared" si="3"/>
        <v>  </v>
      </c>
      <c r="C72" s="88" t="str">
        <f t="shared" si="4"/>
        <v>  </v>
      </c>
      <c r="D72" s="596" t="str">
        <f t="shared" si="4"/>
        <v>  </v>
      </c>
      <c r="E72" s="596" t="str">
        <f t="shared" si="2"/>
        <v>  </v>
      </c>
      <c r="F72" s="597"/>
      <c r="G72" s="127"/>
      <c r="H72" s="127"/>
      <c r="I72" s="127"/>
      <c r="J72" s="127"/>
      <c r="K72" s="127"/>
      <c r="L72" s="227"/>
      <c r="M72" s="232" t="e">
        <f>F53</f>
        <v>#VALUE!</v>
      </c>
    </row>
    <row r="73" spans="1:13" ht="12.75">
      <c r="A73" s="229">
        <v>9</v>
      </c>
      <c r="B73" s="235" t="str">
        <f t="shared" si="3"/>
        <v>  </v>
      </c>
      <c r="C73" s="88" t="str">
        <f t="shared" si="4"/>
        <v>  </v>
      </c>
      <c r="D73" s="88" t="str">
        <f t="shared" si="4"/>
        <v>  </v>
      </c>
      <c r="E73" s="127"/>
      <c r="F73" s="127"/>
      <c r="G73" s="127"/>
      <c r="H73" s="127"/>
      <c r="I73" s="127"/>
      <c r="J73" s="127"/>
      <c r="K73" s="127"/>
      <c r="L73" s="227"/>
      <c r="M73" s="232" t="str">
        <f>F52</f>
        <v> </v>
      </c>
    </row>
    <row r="74" spans="1:13" ht="12.75">
      <c r="A74" s="229">
        <v>10</v>
      </c>
      <c r="B74" s="235" t="str">
        <f t="shared" si="3"/>
        <v>  </v>
      </c>
      <c r="C74" s="88" t="str">
        <f t="shared" si="4"/>
        <v>  </v>
      </c>
      <c r="D74" s="127"/>
      <c r="E74" s="127"/>
      <c r="F74" s="127"/>
      <c r="G74" s="127"/>
      <c r="H74" s="127"/>
      <c r="I74" s="127"/>
      <c r="J74" s="127"/>
      <c r="K74" s="127"/>
      <c r="L74" s="227"/>
      <c r="M74" s="232" t="str">
        <f>F51</f>
        <v> </v>
      </c>
    </row>
    <row r="75" spans="1:13" ht="13.5" thickBot="1">
      <c r="A75" s="125">
        <v>11</v>
      </c>
      <c r="B75" s="236" t="str">
        <f t="shared" si="3"/>
        <v>  </v>
      </c>
      <c r="C75" s="128"/>
      <c r="D75" s="128"/>
      <c r="E75" s="128"/>
      <c r="F75" s="128"/>
      <c r="G75" s="128"/>
      <c r="H75" s="128"/>
      <c r="I75" s="128"/>
      <c r="J75" s="128"/>
      <c r="K75" s="128"/>
      <c r="L75" s="228"/>
      <c r="M75" s="233" t="str">
        <f>F50</f>
        <v> </v>
      </c>
    </row>
  </sheetData>
  <sheetProtection password="C550" sheet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W95"/>
  <sheetViews>
    <sheetView showGridLines="0" zoomScalePageLayoutView="0" workbookViewId="0" topLeftCell="A18">
      <selection activeCell="L35" sqref="L35"/>
    </sheetView>
  </sheetViews>
  <sheetFormatPr defaultColWidth="9.140625" defaultRowHeight="12.75"/>
  <cols>
    <col min="1" max="1" width="9.140625" style="67" customWidth="1"/>
    <col min="2" max="3" width="10.7109375" style="0" bestFit="1" customWidth="1"/>
    <col min="4" max="5" width="10.7109375" style="0" customWidth="1"/>
    <col min="6" max="6" width="10.7109375" style="0" bestFit="1" customWidth="1"/>
    <col min="7" max="7" width="9.7109375" style="11" customWidth="1"/>
    <col min="8" max="8" width="9.140625" style="11" customWidth="1"/>
    <col min="9" max="9" width="10.7109375" style="73" bestFit="1" customWidth="1"/>
  </cols>
  <sheetData>
    <row r="1" spans="1:7" ht="13.5" thickBot="1">
      <c r="A1" s="68" t="s">
        <v>42</v>
      </c>
      <c r="B1" s="62"/>
      <c r="C1" s="62"/>
      <c r="D1" s="62"/>
      <c r="E1" s="62"/>
      <c r="F1" s="63"/>
      <c r="G1" s="60"/>
    </row>
    <row r="3" spans="2:8" ht="12.75">
      <c r="B3" t="s">
        <v>20</v>
      </c>
      <c r="E3" s="153">
        <f>IF(Input!M9=9,Input!P62,Frequencies!O17)</f>
        <v>0</v>
      </c>
      <c r="G3" s="584" t="s">
        <v>261</v>
      </c>
      <c r="H3" s="584"/>
    </row>
    <row r="4" spans="2:7" ht="12.75">
      <c r="B4" t="s">
        <v>49</v>
      </c>
      <c r="E4" s="153">
        <f>Input!F12</f>
        <v>7</v>
      </c>
      <c r="G4" s="585">
        <f>0.01*(Input!O16)</f>
        <v>0.9500000000000001</v>
      </c>
    </row>
    <row r="5" spans="2:5" ht="12.75">
      <c r="B5" t="s">
        <v>48</v>
      </c>
      <c r="E5" s="153">
        <f>Input!F16</f>
        <v>8</v>
      </c>
    </row>
    <row r="6" spans="2:5" ht="12.75">
      <c r="B6" t="s">
        <v>21</v>
      </c>
      <c r="E6" s="153">
        <f>MIN(E4,E5)</f>
        <v>7</v>
      </c>
    </row>
    <row r="7" spans="2:5" ht="12.75">
      <c r="B7" t="s">
        <v>112</v>
      </c>
      <c r="E7" s="153">
        <f>Input!M9</f>
        <v>9</v>
      </c>
    </row>
    <row r="9" spans="1:9" ht="12.75">
      <c r="A9" s="96" t="s">
        <v>61</v>
      </c>
      <c r="B9" s="8" t="s">
        <v>62</v>
      </c>
      <c r="C9" s="8"/>
      <c r="D9" s="8"/>
      <c r="E9" s="8"/>
      <c r="F9" s="8"/>
      <c r="G9" s="97"/>
      <c r="H9" s="97"/>
      <c r="I9" s="98"/>
    </row>
    <row r="10" spans="1:9" ht="12.75">
      <c r="A10" s="96"/>
      <c r="B10" s="8" t="s">
        <v>63</v>
      </c>
      <c r="C10" s="8"/>
      <c r="D10" s="8"/>
      <c r="E10" s="8"/>
      <c r="F10" s="8"/>
      <c r="G10" s="97"/>
      <c r="H10" s="97"/>
      <c r="I10" s="98"/>
    </row>
    <row r="11" spans="1:9" ht="12.75">
      <c r="A11" s="96"/>
      <c r="B11" s="8" t="s">
        <v>65</v>
      </c>
      <c r="C11" s="8"/>
      <c r="D11" s="8"/>
      <c r="E11" s="8"/>
      <c r="F11" s="8"/>
      <c r="G11" s="97"/>
      <c r="H11" s="97"/>
      <c r="I11" s="98"/>
    </row>
    <row r="12" spans="1:9" ht="12.75">
      <c r="A12" s="96"/>
      <c r="B12" s="8" t="s">
        <v>139</v>
      </c>
      <c r="C12" s="8"/>
      <c r="D12" s="8"/>
      <c r="E12" s="8"/>
      <c r="F12" s="8"/>
      <c r="G12" s="97"/>
      <c r="H12" s="97"/>
      <c r="I12" s="98"/>
    </row>
    <row r="13" spans="1:9" ht="12.75">
      <c r="A13" s="96"/>
      <c r="B13" s="8" t="s">
        <v>64</v>
      </c>
      <c r="C13" s="8"/>
      <c r="D13" s="8"/>
      <c r="E13" s="8"/>
      <c r="F13" s="8"/>
      <c r="G13" s="97"/>
      <c r="H13" s="97"/>
      <c r="I13" s="98"/>
    </row>
    <row r="14" ht="12.75">
      <c r="G14" s="159"/>
    </row>
    <row r="15" spans="1:8" ht="12.75">
      <c r="A15" s="67" t="s">
        <v>38</v>
      </c>
      <c r="G15"/>
      <c r="H15"/>
    </row>
    <row r="16" spans="3:8" ht="12.75">
      <c r="C16" t="s">
        <v>194</v>
      </c>
      <c r="E16" s="8"/>
      <c r="G16" s="159" t="s">
        <v>199</v>
      </c>
      <c r="H16" s="67">
        <f>Input!F13</f>
        <v>0</v>
      </c>
    </row>
    <row r="17" spans="3:8" ht="12.75">
      <c r="C17" t="s">
        <v>36</v>
      </c>
      <c r="E17" s="154">
        <f>Input!F10</f>
        <v>7</v>
      </c>
      <c r="G17" s="159" t="s">
        <v>197</v>
      </c>
      <c r="H17">
        <f>IF(H16=1,E18,E17)</f>
        <v>7</v>
      </c>
    </row>
    <row r="18" spans="3:8" ht="12.75">
      <c r="C18" t="s">
        <v>37</v>
      </c>
      <c r="E18" s="154">
        <f>Input!F11</f>
        <v>1</v>
      </c>
      <c r="G18" s="159" t="s">
        <v>198</v>
      </c>
      <c r="H18">
        <f>IF(H16=1,E17,E18)</f>
        <v>1</v>
      </c>
    </row>
    <row r="19" spans="1:8" ht="12.75">
      <c r="A19" s="67" t="s">
        <v>110</v>
      </c>
      <c r="E19" s="55"/>
      <c r="F19" s="328" t="s">
        <v>125</v>
      </c>
      <c r="G19" s="329"/>
      <c r="H19" s="330"/>
    </row>
    <row r="20" spans="3:8" ht="12.75">
      <c r="C20" t="s">
        <v>39</v>
      </c>
      <c r="E20" s="155">
        <f>IF(H16=1,10/(E18-E17),10/(E17-E18))</f>
        <v>1.6666666666666667</v>
      </c>
      <c r="G20"/>
      <c r="H20"/>
    </row>
    <row r="21" spans="3:8" ht="12.75">
      <c r="C21" t="s">
        <v>40</v>
      </c>
      <c r="E21" s="155">
        <f>-E20*H18</f>
        <v>-1.6666666666666667</v>
      </c>
      <c r="G21"/>
      <c r="H21"/>
    </row>
    <row r="22" spans="2:8" ht="12.75">
      <c r="B22" s="619" t="str">
        <f>IF(Input!F1&lt;7,"HOWEVER:   Linear scale transformation is not recommended","")</f>
        <v>HOWEVER:   Linear scale transformation is not recommended</v>
      </c>
      <c r="C22" s="653"/>
      <c r="D22" s="653"/>
      <c r="E22" s="653"/>
      <c r="F22" s="653"/>
      <c r="G22" s="653"/>
      <c r="H22" s="653"/>
    </row>
    <row r="23" spans="2:8" ht="12.75">
      <c r="B23" s="619" t="str">
        <f>IF(Input!F1&lt;7,"                     in case of scales with &lt; 7 possible ratings !","")</f>
        <v>                     in case of scales with &lt; 7 possible ratings !</v>
      </c>
      <c r="C23" s="654"/>
      <c r="D23" s="654"/>
      <c r="E23" s="654"/>
      <c r="F23" s="654"/>
      <c r="G23" s="654"/>
      <c r="H23" s="654"/>
    </row>
    <row r="24" spans="7:8" ht="12.75">
      <c r="G24"/>
      <c r="H24"/>
    </row>
    <row r="25" ht="12.75">
      <c r="A25" s="69" t="s">
        <v>22</v>
      </c>
    </row>
    <row r="26" ht="12.75">
      <c r="A26" s="69"/>
    </row>
    <row r="27" spans="2:11" ht="13.5" thickBot="1">
      <c r="B27" t="s">
        <v>41</v>
      </c>
      <c r="G27" s="582" t="s">
        <v>262</v>
      </c>
      <c r="H27" s="604">
        <f>G4</f>
        <v>0.9500000000000001</v>
      </c>
      <c r="J27" s="53"/>
      <c r="K27" s="613"/>
    </row>
    <row r="28" spans="1:11" ht="13.5" thickBot="1">
      <c r="A28" s="217"/>
      <c r="B28" s="254" t="s">
        <v>174</v>
      </c>
      <c r="C28" s="158"/>
      <c r="D28" s="33" t="s">
        <v>24</v>
      </c>
      <c r="E28" s="20" t="s">
        <v>26</v>
      </c>
      <c r="F28" s="21" t="s">
        <v>32</v>
      </c>
      <c r="G28" s="580" t="s">
        <v>263</v>
      </c>
      <c r="H28" s="17"/>
      <c r="J28" s="53"/>
      <c r="K28" s="53"/>
    </row>
    <row r="29" spans="2:11" ht="13.5" thickBot="1">
      <c r="B29" s="253" t="s">
        <v>151</v>
      </c>
      <c r="C29" s="39" t="s">
        <v>104</v>
      </c>
      <c r="D29" s="34" t="s">
        <v>25</v>
      </c>
      <c r="E29" s="22" t="s">
        <v>27</v>
      </c>
      <c r="F29" s="23" t="s">
        <v>33</v>
      </c>
      <c r="G29" s="18" t="s">
        <v>28</v>
      </c>
      <c r="H29" s="19" t="s">
        <v>29</v>
      </c>
      <c r="J29" s="53"/>
      <c r="K29" s="53"/>
    </row>
    <row r="30" spans="2:11" ht="12.75">
      <c r="B30" s="269" t="s">
        <v>150</v>
      </c>
      <c r="C30" s="269">
        <v>12</v>
      </c>
      <c r="D30" s="36">
        <f>IF(OR(C30&gt;E$5,F30&lt;0.5),"",IF($E$7=9,Input!O62,Frequencies!N39))</f>
      </c>
      <c r="E30" s="10" t="str">
        <f>IF(OR(C30&gt;E$5,F30&lt;1.5)," ",IF($E$7=9,(Input!O64)/(SQRT(F30)),(Frequencies!N40)/(SQRT(F30))))</f>
        <v> </v>
      </c>
      <c r="F30" s="27" t="str">
        <f>IF(C30&gt;E$5," ",IF($E$7=9,Input!O62,IF(Frequencies!N33&gt;0.5,Frequencies!N33,0)))</f>
        <v> </v>
      </c>
      <c r="G30" s="26" t="str">
        <f>IF(OR(C30&gt;E$5,F30&lt;1.5)," ",D30-E30*(TINV((1-$H$27),(F30-1))))</f>
        <v> </v>
      </c>
      <c r="H30" s="28" t="str">
        <f>IF(OR(C30&gt;E$5,F30&lt;1.5)," ",D30+E30*(TINV((1-$H$27),(F30-1))))</f>
        <v> </v>
      </c>
      <c r="J30" s="53"/>
      <c r="K30" s="53"/>
    </row>
    <row r="31" spans="2:11" ht="12.75">
      <c r="B31" s="270" t="s">
        <v>149</v>
      </c>
      <c r="C31" s="270">
        <v>11</v>
      </c>
      <c r="D31" s="36">
        <f>IF(OR(C31&gt;E$5,F31&lt;0.5),"",IF($E$7=9,Input!N63,Frequencies!M39))</f>
      </c>
      <c r="E31" s="10" t="str">
        <f>IF(OR(C31&gt;E$5,F31&lt;1.5)," ",IF($E$7=9,(Input!N64)/(SQRT(F31)),(Frequencies!M40)/(SQRT(F31))))</f>
        <v> </v>
      </c>
      <c r="F31" s="27" t="str">
        <f>IF(C31&gt;E$5," ",IF($E$7=9,Input!N62,IF(Frequencies!M33&gt;0.5,Frequencies!M33,0)))</f>
        <v> </v>
      </c>
      <c r="G31" s="26" t="str">
        <f>IF(OR(C31&gt;E$5,F31&lt;1.5)," ",D31-E31*(TINV((1-$H$27),(F31-1))))</f>
        <v> </v>
      </c>
      <c r="H31" s="28" t="str">
        <f>IF(OR(C31&gt;E$5,F31&lt;1.5)," ",D31+E31*(TINV((1-$H$27),(F31-1))))</f>
        <v> </v>
      </c>
      <c r="J31" s="53"/>
      <c r="K31" s="53"/>
    </row>
    <row r="32" spans="2:11" ht="12.75">
      <c r="B32" s="270" t="s">
        <v>148</v>
      </c>
      <c r="C32" s="270">
        <v>10</v>
      </c>
      <c r="D32" s="36">
        <f>IF(OR(C32&gt;E$5,F32&lt;0.5),"",IF($E$7=9,Input!M63,Frequencies!L39))</f>
      </c>
      <c r="E32" s="10" t="str">
        <f>IF(OR(C32&gt;E$5,F32&lt;1.5)," ",IF($E$7=9,(Input!M64)/(SQRT(F32)),(Frequencies!L40)/(SQRT(F32))))</f>
        <v> </v>
      </c>
      <c r="F32" s="27" t="str">
        <f>IF(C32&gt;E$5," ",IF($E$7=9,Input!M62,IF(Frequencies!L33&gt;0.5,Frequencies!L33,0)))</f>
        <v> </v>
      </c>
      <c r="G32" s="26" t="str">
        <f aca="true" t="shared" si="0" ref="G32:G41">IF(OR(C32&gt;E$5,F32&lt;1.5)," ",D32-E32*(TINV((1-$H$27),(F32-1))))</f>
        <v> </v>
      </c>
      <c r="H32" s="28" t="str">
        <f aca="true" t="shared" si="1" ref="H32:H41">IF(OR(C32&gt;E$5,F32&lt;1.5)," ",D32+E32*(TINV((1-$H$27),(F32-1))))</f>
        <v> </v>
      </c>
      <c r="J32" s="53"/>
      <c r="K32" s="53"/>
    </row>
    <row r="33" spans="2:11" ht="12.75">
      <c r="B33" s="270" t="s">
        <v>147</v>
      </c>
      <c r="C33" s="270">
        <v>9</v>
      </c>
      <c r="D33" s="36">
        <f>IF(OR(C33&gt;E$5,F33&lt;0.5),"",IF($E$7=9,Input!L63,Frequencies!K39))</f>
      </c>
      <c r="E33" s="10" t="str">
        <f>IF(OR(C33&gt;E$5,F33&lt;1.5)," ",IF($E$7=9,(Input!L64)/(SQRT(F33)),(Frequencies!K40)/(SQRT(F33))))</f>
        <v> </v>
      </c>
      <c r="F33" s="27" t="str">
        <f>IF(C33&gt;E$5," ",IF($E$7=9,Input!L62,IF(Frequencies!K33&gt;0.5,Frequencies!K33,0)))</f>
        <v> </v>
      </c>
      <c r="G33" s="26" t="str">
        <f t="shared" si="0"/>
        <v> </v>
      </c>
      <c r="H33" s="28" t="str">
        <f t="shared" si="1"/>
        <v> </v>
      </c>
      <c r="J33" s="53"/>
      <c r="K33" s="53"/>
    </row>
    <row r="34" spans="2:11" ht="12.75">
      <c r="B34" s="270" t="s">
        <v>146</v>
      </c>
      <c r="C34" s="270">
        <v>8</v>
      </c>
      <c r="D34" s="36">
        <f>IF(OR(C34&gt;E$5,F34&lt;0.5),"",IF($E$7=9,Input!K63,Frequencies!J39))</f>
      </c>
      <c r="E34" s="10" t="str">
        <f>IF(OR(C34&gt;E$5,F34&lt;1.5)," ",IF($E$7=9,(Input!K64)/(SQRT(F34)),(Frequencies!J40)/(SQRT(F34))))</f>
        <v> </v>
      </c>
      <c r="F34" s="27">
        <f>IF(C34&gt;E$5," ",IF($E$7=9,Input!K62,IF(Frequencies!J33&gt;0.5,Frequencies!J33,0)))</f>
        <v>0</v>
      </c>
      <c r="G34" s="26" t="str">
        <f t="shared" si="0"/>
        <v> </v>
      </c>
      <c r="H34" s="28" t="str">
        <f t="shared" si="1"/>
        <v> </v>
      </c>
      <c r="J34" s="53"/>
      <c r="K34" s="53"/>
    </row>
    <row r="35" spans="2:11" ht="12.75">
      <c r="B35" s="270" t="s">
        <v>145</v>
      </c>
      <c r="C35" s="270">
        <v>7</v>
      </c>
      <c r="D35" s="36">
        <f>IF(OR(C35&gt;E$5,F35&lt;0.5),"",IF($E$7=9,Input!J63,Frequencies!I39))</f>
      </c>
      <c r="E35" s="10" t="str">
        <f>IF(OR(C35&gt;E$5,F35&lt;1.5)," ",IF($E$7=9,(Input!J64)/(SQRT(F35)),(Frequencies!I40)/(SQRT(F35))))</f>
        <v> </v>
      </c>
      <c r="F35" s="27">
        <f>IF(C35&gt;E$5," ",IF($E$7=9,Input!J62,IF(Frequencies!I33&gt;0.5,Frequencies!I33,0)))</f>
        <v>0</v>
      </c>
      <c r="G35" s="26" t="str">
        <f t="shared" si="0"/>
        <v> </v>
      </c>
      <c r="H35" s="28" t="str">
        <f t="shared" si="1"/>
        <v> </v>
      </c>
      <c r="J35" s="53"/>
      <c r="K35" s="53"/>
    </row>
    <row r="36" spans="2:11" ht="12.75">
      <c r="B36" s="270" t="s">
        <v>74</v>
      </c>
      <c r="C36" s="270">
        <v>6</v>
      </c>
      <c r="D36" s="36">
        <f>IF(OR(C36&gt;E$5,F36&lt;0.5),"",IF($E$7=9,Input!I63,Frequencies!H39))</f>
      </c>
      <c r="E36" s="10" t="str">
        <f>IF(OR(C36&gt;E$5,F36&lt;1.5)," ",IF($E$7=9,(Input!I64)/(SQRT(F36)),(Frequencies!H40)/(SQRT(F36))))</f>
        <v> </v>
      </c>
      <c r="F36" s="27">
        <f>IF(C36&gt;E$5," ",IF($E$7=9,Input!I62,IF(Frequencies!H33&gt;0.5,Frequencies!H33,0)))</f>
        <v>0</v>
      </c>
      <c r="G36" s="26" t="str">
        <f t="shared" si="0"/>
        <v> </v>
      </c>
      <c r="H36" s="28" t="str">
        <f t="shared" si="1"/>
        <v> </v>
      </c>
      <c r="J36" s="53"/>
      <c r="K36" s="53"/>
    </row>
    <row r="37" spans="2:12" ht="12.75">
      <c r="B37" s="270" t="s">
        <v>144</v>
      </c>
      <c r="C37" s="270">
        <v>5</v>
      </c>
      <c r="D37" s="36">
        <f>IF(OR(C37&gt;E$5,F37&lt;0.5),"",IF($E$7=9,Input!H63,Frequencies!G39))</f>
      </c>
      <c r="E37" s="10" t="str">
        <f>IF(OR(C37&gt;E$5,F37&lt;1.5)," ",IF($E$7=9,(Input!H64)/(SQRT(F37)),(Frequencies!G40)/(SQRT(F37))))</f>
        <v> </v>
      </c>
      <c r="F37" s="27">
        <f>IF(C37&gt;E$5," ",IF($E$7=9,Input!H62,IF(Frequencies!G33&gt;0.5,Frequencies!G33,0)))</f>
        <v>0</v>
      </c>
      <c r="G37" s="26" t="str">
        <f t="shared" si="0"/>
        <v> </v>
      </c>
      <c r="H37" s="28" t="str">
        <f t="shared" si="1"/>
        <v> </v>
      </c>
      <c r="J37" s="53"/>
      <c r="K37" s="53"/>
      <c r="L37" s="53"/>
    </row>
    <row r="38" spans="2:12" ht="12.75">
      <c r="B38" s="270" t="s">
        <v>143</v>
      </c>
      <c r="C38" s="270">
        <v>4</v>
      </c>
      <c r="D38" s="36">
        <f>IF(OR(C38&gt;E$5,F38&lt;0.5),"",IF($E$7=9,Input!G63,Frequencies!F39))</f>
      </c>
      <c r="E38" s="10" t="str">
        <f>IF(OR(C38&gt;E$5,F38&lt;1.5)," ",IF($E$7=9,(Input!G64)/(SQRT(F38)),(Frequencies!F40)/(SQRT(F38))))</f>
        <v> </v>
      </c>
      <c r="F38" s="27">
        <f>IF(C38&gt;E$5," ",IF($E$7=9,Input!G62,IF(Frequencies!F33&gt;0.5,Frequencies!F33,0)))</f>
        <v>0</v>
      </c>
      <c r="G38" s="26" t="str">
        <f t="shared" si="0"/>
        <v> </v>
      </c>
      <c r="H38" s="28" t="str">
        <f t="shared" si="1"/>
        <v> </v>
      </c>
      <c r="J38" s="53"/>
      <c r="K38" s="53"/>
      <c r="L38" s="53"/>
    </row>
    <row r="39" spans="2:12" ht="12.75">
      <c r="B39" s="270" t="s">
        <v>142</v>
      </c>
      <c r="C39" s="270">
        <v>3</v>
      </c>
      <c r="D39" s="36">
        <f>IF(OR(C39&gt;E$5,F39&lt;0.5),"",IF($E$7=9,Input!F63,Frequencies!E39))</f>
      </c>
      <c r="E39" s="10" t="str">
        <f>IF(OR(C39&gt;E$5,F39&lt;1.5)," ",IF($E$7=9,(Input!F64)/(SQRT(F39)),(Frequencies!E40)/(SQRT(F39))))</f>
        <v> </v>
      </c>
      <c r="F39" s="27">
        <f>IF(C39&gt;E$5," ",IF($E$7=9,Input!F62,IF(Frequencies!E33&gt;0.5,Frequencies!E33,0)))</f>
        <v>0</v>
      </c>
      <c r="G39" s="26" t="str">
        <f t="shared" si="0"/>
        <v> </v>
      </c>
      <c r="H39" s="28" t="str">
        <f t="shared" si="1"/>
        <v> </v>
      </c>
      <c r="J39" s="53"/>
      <c r="K39" s="57"/>
      <c r="L39" s="53"/>
    </row>
    <row r="40" spans="2:12" ht="12.75">
      <c r="B40" s="270" t="s">
        <v>141</v>
      </c>
      <c r="C40" s="270">
        <v>2</v>
      </c>
      <c r="D40" s="36">
        <f>IF(OR(C40&gt;E$5,F40&lt;0.5),"",IF($E$7=9,Input!E63,Frequencies!D39))</f>
      </c>
      <c r="E40" s="10" t="str">
        <f>IF(OR(C40&gt;E$5,F40&lt;1.5)," ",IF($E$7=9,(Input!E64)/(SQRT(F40)),(Frequencies!D40)/(SQRT(F40))))</f>
        <v> </v>
      </c>
      <c r="F40" s="27">
        <f>IF(C40&gt;E$5," ",IF($E$7=9,Input!E62,IF(Frequencies!D33&gt;0.5,Frequencies!D33,0)))</f>
        <v>0</v>
      </c>
      <c r="G40" s="26" t="str">
        <f t="shared" si="0"/>
        <v> </v>
      </c>
      <c r="H40" s="28" t="str">
        <f t="shared" si="1"/>
        <v> </v>
      </c>
      <c r="J40" s="53"/>
      <c r="K40" s="53"/>
      <c r="L40" s="53"/>
    </row>
    <row r="41" spans="2:12" ht="13.5" thickBot="1">
      <c r="B41" s="271" t="s">
        <v>140</v>
      </c>
      <c r="C41" s="271">
        <v>1</v>
      </c>
      <c r="D41" s="35">
        <f>IF(F41&gt;0.5,IF($E$7=9,Input!D63,Frequencies!C39),"")</f>
      </c>
      <c r="E41" s="24">
        <f>IF(F41&gt;1.5,IF($E$7=9,(Input!D64)/(SQRT(F41)),(Frequencies!C40)/(SQRT(F41))),"")</f>
      </c>
      <c r="F41" s="25">
        <f>IF($E$7=9,Input!D62,IF(Frequencies!C33&gt;0.5,Frequencies!C33,0))</f>
        <v>0</v>
      </c>
      <c r="G41" s="26" t="str">
        <f t="shared" si="0"/>
        <v> </v>
      </c>
      <c r="H41" s="28" t="str">
        <f t="shared" si="1"/>
        <v> </v>
      </c>
      <c r="J41" s="53"/>
      <c r="K41" s="53"/>
      <c r="L41" s="53"/>
    </row>
    <row r="42" spans="2:8" ht="13.5" thickBot="1">
      <c r="B42" s="272"/>
      <c r="C42" s="273" t="s">
        <v>34</v>
      </c>
      <c r="D42" s="37" t="str">
        <f>IF($E$7=9,Input!P63,Frequencies!O39)</f>
        <v> </v>
      </c>
      <c r="E42" s="30" t="e">
        <f>IF(E7=9,SQRT((MulComp!E10)/(F42*(F42-1))),(Frequencies!O40)/(SQRT(F42)))</f>
        <v>#VALUE!</v>
      </c>
      <c r="F42" s="31">
        <f>IF($E$7=9,Input!P62,Frequencies!O33)</f>
        <v>0</v>
      </c>
      <c r="G42" s="29" t="str">
        <f>IF(F42&lt;1.5," ",D42-E42*(TINV((1-$H$27),(F42-1))))</f>
        <v> </v>
      </c>
      <c r="H42" s="32" t="str">
        <f>IF(F42&lt;1.5," ",D42+E42*(TINV((1-$H$27),(F42-1))))</f>
        <v> </v>
      </c>
    </row>
    <row r="44" spans="7:8" ht="12.75">
      <c r="G44" s="582" t="s">
        <v>262</v>
      </c>
      <c r="H44" s="585">
        <f>G4</f>
        <v>0.9500000000000001</v>
      </c>
    </row>
    <row r="45" spans="2:7" ht="13.5" thickBot="1">
      <c r="B45" s="54" t="s">
        <v>47</v>
      </c>
      <c r="C45" s="50"/>
      <c r="D45" s="51"/>
      <c r="E45" s="52"/>
      <c r="F45" s="50"/>
      <c r="G45" s="50"/>
    </row>
    <row r="46" spans="2:7" ht="12.75">
      <c r="B46" s="42" t="s">
        <v>23</v>
      </c>
      <c r="C46" s="43" t="s">
        <v>24</v>
      </c>
      <c r="D46" s="44" t="s">
        <v>26</v>
      </c>
      <c r="E46" s="45" t="s">
        <v>32</v>
      </c>
      <c r="F46" s="581" t="s">
        <v>263</v>
      </c>
      <c r="G46" s="46"/>
    </row>
    <row r="47" spans="2:8" ht="13.5" thickBot="1">
      <c r="B47" s="39" t="s">
        <v>104</v>
      </c>
      <c r="C47" s="34" t="s">
        <v>25</v>
      </c>
      <c r="D47" s="22" t="s">
        <v>27</v>
      </c>
      <c r="E47" s="23" t="s">
        <v>33</v>
      </c>
      <c r="F47" s="18" t="s">
        <v>28</v>
      </c>
      <c r="G47" s="19" t="s">
        <v>29</v>
      </c>
      <c r="H47" s="11" t="s">
        <v>55</v>
      </c>
    </row>
    <row r="48" spans="2:8" ht="12.75">
      <c r="B48" s="269">
        <v>12</v>
      </c>
      <c r="C48" s="36">
        <f>IF(OR(B48&gt;E$5,E48&lt;0.5),"",E$20*D30+E$21-0.0005)</f>
      </c>
      <c r="D48" s="10" t="str">
        <f>IF(OR(B48&gt;E$5,E48&lt;1.5)," ",ABS(E$20*E30))</f>
        <v> </v>
      </c>
      <c r="E48" s="27" t="str">
        <f aca="true" t="shared" si="2" ref="E48:E59">IF(B48&gt;E$5," ",IF(F30&gt;0.5,F30,0))</f>
        <v> </v>
      </c>
      <c r="F48" s="26" t="str">
        <f>IF(OR(B48&gt;E$5,E48&lt;1.5)," ",C48-D48*(TINV((1-$H$44),(E48-1))))</f>
        <v> </v>
      </c>
      <c r="G48" s="28" t="str">
        <f>IF(OR(B48&gt;E$5,E48&lt;1.5)," ",C48+D48*(TINV((1-$H$44),(E48-1))))</f>
        <v> </v>
      </c>
      <c r="H48" s="269">
        <f aca="true" t="shared" si="3" ref="H48:H59">IF(B48&gt;E$5,"",RANK(C48,C$48:C$59))</f>
      </c>
    </row>
    <row r="49" spans="2:8" ht="12.75">
      <c r="B49" s="270">
        <v>11</v>
      </c>
      <c r="C49" s="36">
        <f>IF(OR(B49&gt;E$5,E49&lt;0.5),"",E$20*D31+E$21-0.0004)</f>
      </c>
      <c r="D49" s="10" t="str">
        <f aca="true" t="shared" si="4" ref="D49:D59">IF(OR(B49&gt;E$5,E49&lt;1.5)," ",ABS(E$20*E31))</f>
        <v> </v>
      </c>
      <c r="E49" s="27" t="str">
        <f t="shared" si="2"/>
        <v> </v>
      </c>
      <c r="F49" s="26" t="str">
        <f>IF(OR(B49&gt;E$5,E49&lt;1.5)," ",C49-D49*(TINV((1-$H$44),(E49-1))))</f>
        <v> </v>
      </c>
      <c r="G49" s="28" t="str">
        <f>IF(OR(B49&gt;E$5,E49&lt;1.5)," ",C49+D49*(TINV((1-$H$44),(E49-1))))</f>
        <v> </v>
      </c>
      <c r="H49" s="271">
        <f t="shared" si="3"/>
      </c>
    </row>
    <row r="50" spans="2:8" ht="12.75">
      <c r="B50" s="270">
        <v>10</v>
      </c>
      <c r="C50" s="36">
        <f>IF(OR(B50&gt;E$5,E50&lt;0.5),"",E$20*D32+E$21-0.0003)</f>
      </c>
      <c r="D50" s="10" t="str">
        <f t="shared" si="4"/>
        <v> </v>
      </c>
      <c r="E50" s="27" t="str">
        <f t="shared" si="2"/>
        <v> </v>
      </c>
      <c r="F50" s="26" t="str">
        <f>IF(OR(B50&gt;E$5,E50&lt;1.5)," ",C50-D50*(TINV((1-$H$44),(E50-1))))</f>
        <v> </v>
      </c>
      <c r="G50" s="28" t="str">
        <f>IF(OR(B50&gt;E$5,E50&lt;1.5)," ",C50+D50*(TINV((1-$H$44),(E50-1))))</f>
        <v> </v>
      </c>
      <c r="H50" s="270">
        <f t="shared" si="3"/>
      </c>
    </row>
    <row r="51" spans="2:8" ht="12.75">
      <c r="B51" s="270">
        <v>9</v>
      </c>
      <c r="C51" s="36">
        <f>IF(OR(B51&gt;E$5,E51&lt;0.5),"",E$20*D33+E$21-0.0002)</f>
      </c>
      <c r="D51" s="10" t="str">
        <f t="shared" si="4"/>
        <v> </v>
      </c>
      <c r="E51" s="27" t="str">
        <f t="shared" si="2"/>
        <v> </v>
      </c>
      <c r="F51" s="26" t="str">
        <f aca="true" t="shared" si="5" ref="F51:F59">IF(OR(B51&gt;E$5,E51&lt;1.5)," ",C51-D51*(TINV((1-$H$44),(E51-1))))</f>
        <v> </v>
      </c>
      <c r="G51" s="28" t="str">
        <f aca="true" t="shared" si="6" ref="G51:G59">IF(OR(B51&gt;E$5,E51&lt;1.5)," ",C51+D51*(TINV((1-$H$44),(E51-1))))</f>
        <v> </v>
      </c>
      <c r="H51" s="270">
        <f t="shared" si="3"/>
      </c>
    </row>
    <row r="52" spans="2:8" ht="12.75">
      <c r="B52" s="270">
        <v>8</v>
      </c>
      <c r="C52" s="36">
        <f>IF(OR(B52&gt;E$5,E52&lt;0.5),"",E$20*D34+E$21-0.0001)</f>
      </c>
      <c r="D52" s="10" t="str">
        <f t="shared" si="4"/>
        <v> </v>
      </c>
      <c r="E52" s="27">
        <f t="shared" si="2"/>
        <v>0</v>
      </c>
      <c r="F52" s="26" t="str">
        <f t="shared" si="5"/>
        <v> </v>
      </c>
      <c r="G52" s="28" t="str">
        <f t="shared" si="6"/>
        <v> </v>
      </c>
      <c r="H52" s="270" t="e">
        <f t="shared" si="3"/>
        <v>#VALUE!</v>
      </c>
    </row>
    <row r="53" spans="2:8" ht="12.75">
      <c r="B53" s="270">
        <v>7</v>
      </c>
      <c r="C53" s="36">
        <f>IF(OR(B53&gt;E$5,E53&lt;0.5),"",E$20*D35+E$21)</f>
      </c>
      <c r="D53" s="10" t="str">
        <f t="shared" si="4"/>
        <v> </v>
      </c>
      <c r="E53" s="27">
        <f t="shared" si="2"/>
        <v>0</v>
      </c>
      <c r="F53" s="26" t="str">
        <f t="shared" si="5"/>
        <v> </v>
      </c>
      <c r="G53" s="28" t="str">
        <f t="shared" si="6"/>
        <v> </v>
      </c>
      <c r="H53" s="270" t="e">
        <f t="shared" si="3"/>
        <v>#VALUE!</v>
      </c>
    </row>
    <row r="54" spans="2:8" ht="12.75">
      <c r="B54" s="270">
        <v>6</v>
      </c>
      <c r="C54" s="36">
        <f>IF(OR(B54&gt;E$5,E54&lt;0.5),"",E$20*D36+E$21+0.0001)</f>
      </c>
      <c r="D54" s="10" t="str">
        <f t="shared" si="4"/>
        <v> </v>
      </c>
      <c r="E54" s="27">
        <f t="shared" si="2"/>
        <v>0</v>
      </c>
      <c r="F54" s="26" t="str">
        <f t="shared" si="5"/>
        <v> </v>
      </c>
      <c r="G54" s="28" t="str">
        <f t="shared" si="6"/>
        <v> </v>
      </c>
      <c r="H54" s="270" t="e">
        <f t="shared" si="3"/>
        <v>#VALUE!</v>
      </c>
    </row>
    <row r="55" spans="2:11" ht="12.75">
      <c r="B55" s="270">
        <v>5</v>
      </c>
      <c r="C55" s="36">
        <f>IF(OR(B55&gt;E$5,E55&lt;0.5),"",E$20*D37+E$21+0.0002)</f>
      </c>
      <c r="D55" s="10" t="str">
        <f t="shared" si="4"/>
        <v> </v>
      </c>
      <c r="E55" s="27">
        <f t="shared" si="2"/>
        <v>0</v>
      </c>
      <c r="F55" s="26" t="str">
        <f t="shared" si="5"/>
        <v> </v>
      </c>
      <c r="G55" s="28" t="str">
        <f t="shared" si="6"/>
        <v> </v>
      </c>
      <c r="H55" s="270" t="e">
        <f t="shared" si="3"/>
        <v>#VALUE!</v>
      </c>
      <c r="K55" s="586"/>
    </row>
    <row r="56" spans="2:8" ht="12.75">
      <c r="B56" s="270">
        <v>4</v>
      </c>
      <c r="C56" s="36">
        <f>IF(OR(B56&gt;E$5,E56&lt;0.5),"",E$20*D38+E$21+0.0003)</f>
      </c>
      <c r="D56" s="10" t="str">
        <f t="shared" si="4"/>
        <v> </v>
      </c>
      <c r="E56" s="27">
        <f t="shared" si="2"/>
        <v>0</v>
      </c>
      <c r="F56" s="26" t="str">
        <f t="shared" si="5"/>
        <v> </v>
      </c>
      <c r="G56" s="28" t="str">
        <f t="shared" si="6"/>
        <v> </v>
      </c>
      <c r="H56" s="270" t="e">
        <f t="shared" si="3"/>
        <v>#VALUE!</v>
      </c>
    </row>
    <row r="57" spans="2:11" ht="12.75">
      <c r="B57" s="270">
        <v>3</v>
      </c>
      <c r="C57" s="36">
        <f>IF(OR(B57&gt;E$5,E57&lt;0.5),"",E$20*D39+E$21+0.0004)</f>
      </c>
      <c r="D57" s="10" t="str">
        <f t="shared" si="4"/>
        <v> </v>
      </c>
      <c r="E57" s="27">
        <f t="shared" si="2"/>
        <v>0</v>
      </c>
      <c r="F57" s="26" t="str">
        <f t="shared" si="5"/>
        <v> </v>
      </c>
      <c r="G57" s="28" t="str">
        <f t="shared" si="6"/>
        <v> </v>
      </c>
      <c r="H57" s="270" t="e">
        <f t="shared" si="3"/>
        <v>#VALUE!</v>
      </c>
      <c r="K57" s="586"/>
    </row>
    <row r="58" spans="2:8" ht="12.75">
      <c r="B58" s="270">
        <v>2</v>
      </c>
      <c r="C58" s="36">
        <f>IF(OR(B58&gt;E$5,E58&lt;0.5),"",E$20*D40+E$21+0.0005)</f>
      </c>
      <c r="D58" s="10" t="str">
        <f t="shared" si="4"/>
        <v> </v>
      </c>
      <c r="E58" s="27">
        <f t="shared" si="2"/>
        <v>0</v>
      </c>
      <c r="F58" s="26" t="str">
        <f t="shared" si="5"/>
        <v> </v>
      </c>
      <c r="G58" s="28" t="str">
        <f t="shared" si="6"/>
        <v> </v>
      </c>
      <c r="H58" s="270" t="e">
        <f t="shared" si="3"/>
        <v>#VALUE!</v>
      </c>
    </row>
    <row r="59" spans="2:8" ht="13.5" thickBot="1">
      <c r="B59" s="271">
        <v>1</v>
      </c>
      <c r="C59" s="36">
        <f>IF(OR(B59&gt;E$5,E59&lt;0.5),"",E$20*D41+E$21+0.0006)</f>
      </c>
      <c r="D59" s="10" t="str">
        <f t="shared" si="4"/>
        <v> </v>
      </c>
      <c r="E59" s="161">
        <f t="shared" si="2"/>
        <v>0</v>
      </c>
      <c r="F59" s="26" t="str">
        <f t="shared" si="5"/>
        <v> </v>
      </c>
      <c r="G59" s="28" t="str">
        <f t="shared" si="6"/>
        <v> </v>
      </c>
      <c r="H59" s="331" t="e">
        <f t="shared" si="3"/>
        <v>#VALUE!</v>
      </c>
    </row>
    <row r="60" spans="2:7" ht="13.5" thickBot="1">
      <c r="B60" s="255" t="s">
        <v>34</v>
      </c>
      <c r="C60" s="37" t="e">
        <f>E20*D42+E21</f>
        <v>#VALUE!</v>
      </c>
      <c r="D60" s="30" t="e">
        <f>ABS(E$20*E42)</f>
        <v>#VALUE!</v>
      </c>
      <c r="E60" s="31">
        <f>F42</f>
        <v>0</v>
      </c>
      <c r="F60" s="587" t="str">
        <f>IF(E60&lt;1.5," ",C60-D60*(TINV((1-$H$44),(E60-1))))</f>
        <v> </v>
      </c>
      <c r="G60" s="588" t="str">
        <f>IF(E60&lt;1.5," ",C60+D60*(TINV((1-$H$44),(E60-1))))</f>
        <v> </v>
      </c>
    </row>
    <row r="61" spans="2:8" ht="12.75">
      <c r="B61" s="56"/>
      <c r="C61" s="57"/>
      <c r="D61" s="58"/>
      <c r="E61" s="59"/>
      <c r="F61" s="57"/>
      <c r="G61" s="57"/>
      <c r="H61" s="101"/>
    </row>
    <row r="62" spans="1:18" ht="12.75">
      <c r="A62" s="70"/>
      <c r="B62" s="56"/>
      <c r="C62" s="103">
        <v>12</v>
      </c>
      <c r="D62" s="103">
        <v>11</v>
      </c>
      <c r="E62" s="59">
        <v>10</v>
      </c>
      <c r="F62" s="103">
        <v>9</v>
      </c>
      <c r="G62" s="103">
        <v>8</v>
      </c>
      <c r="H62" s="101">
        <v>7</v>
      </c>
      <c r="I62" s="101">
        <v>6</v>
      </c>
      <c r="J62" s="101">
        <v>5</v>
      </c>
      <c r="K62" s="101">
        <v>4</v>
      </c>
      <c r="L62" s="101">
        <v>3</v>
      </c>
      <c r="M62" s="101">
        <v>2</v>
      </c>
      <c r="N62" s="101">
        <v>1</v>
      </c>
      <c r="O62" s="101" t="s">
        <v>23</v>
      </c>
      <c r="P62" s="55"/>
      <c r="Q62" s="55"/>
      <c r="R62" s="55"/>
    </row>
    <row r="63" spans="1:23" ht="12.75">
      <c r="A63" s="70"/>
      <c r="B63" s="198" t="s">
        <v>55</v>
      </c>
      <c r="C63" s="102">
        <f aca="true" t="shared" si="7" ref="C63:M63">IF(C62&lt;$E$5+0.1,D63+1,0)</f>
        <v>0</v>
      </c>
      <c r="D63" s="102">
        <f t="shared" si="7"/>
        <v>0</v>
      </c>
      <c r="E63" s="102">
        <f t="shared" si="7"/>
        <v>0</v>
      </c>
      <c r="F63" s="102">
        <f t="shared" si="7"/>
        <v>0</v>
      </c>
      <c r="G63" s="102">
        <f t="shared" si="7"/>
        <v>8</v>
      </c>
      <c r="H63" s="102">
        <f t="shared" si="7"/>
        <v>7</v>
      </c>
      <c r="I63" s="102">
        <f t="shared" si="7"/>
        <v>6</v>
      </c>
      <c r="J63" s="102">
        <f t="shared" si="7"/>
        <v>5</v>
      </c>
      <c r="K63" s="102">
        <f t="shared" si="7"/>
        <v>4</v>
      </c>
      <c r="L63" s="102">
        <f t="shared" si="7"/>
        <v>3</v>
      </c>
      <c r="M63" s="102">
        <f t="shared" si="7"/>
        <v>2</v>
      </c>
      <c r="N63" s="102">
        <v>1</v>
      </c>
      <c r="O63" s="332" t="s">
        <v>66</v>
      </c>
      <c r="P63" s="332"/>
      <c r="Q63" s="332"/>
      <c r="R63" s="332"/>
      <c r="S63" s="100"/>
      <c r="T63" s="100"/>
      <c r="U63" s="100"/>
      <c r="V63" s="100"/>
      <c r="W63" s="100"/>
    </row>
    <row r="64" spans="1:18" ht="12.75">
      <c r="A64" s="70"/>
      <c r="B64" s="198">
        <v>12</v>
      </c>
      <c r="C64" s="102">
        <f aca="true" t="shared" si="8" ref="C64:C75">IF($H$48=$B64,C$63,0)</f>
        <v>0</v>
      </c>
      <c r="D64" s="102">
        <f aca="true" t="shared" si="9" ref="D64:D75">IF($H$49=$B64,D$63,0)</f>
        <v>0</v>
      </c>
      <c r="E64" s="102">
        <f aca="true" t="shared" si="10" ref="E64:E75">IF($H$50=$B64,E$63,0)</f>
        <v>0</v>
      </c>
      <c r="F64" s="102">
        <f aca="true" t="shared" si="11" ref="F64:F75">IF($H$51=$B64,F$63,0)</f>
        <v>0</v>
      </c>
      <c r="G64" s="102" t="e">
        <f aca="true" t="shared" si="12" ref="G64:G75">IF($H$52=$B64,G$63,0)</f>
        <v>#VALUE!</v>
      </c>
      <c r="H64" s="102" t="e">
        <f aca="true" t="shared" si="13" ref="H64:H75">IF($H$53=$B64,H$63,0)</f>
        <v>#VALUE!</v>
      </c>
      <c r="I64" s="102" t="e">
        <f aca="true" t="shared" si="14" ref="I64:I75">IF($H$54=$B64,I$63,0)</f>
        <v>#VALUE!</v>
      </c>
      <c r="J64" s="102" t="e">
        <f aca="true" t="shared" si="15" ref="J64:J75">IF($H$55=$B64,J$63,0)</f>
        <v>#VALUE!</v>
      </c>
      <c r="K64" s="102" t="e">
        <f aca="true" t="shared" si="16" ref="K64:K75">IF($H$56=$B64,K$63,0)</f>
        <v>#VALUE!</v>
      </c>
      <c r="L64" s="102" t="e">
        <f aca="true" t="shared" si="17" ref="L64:L75">IF($H$57=$B64,L$63,0)</f>
        <v>#VALUE!</v>
      </c>
      <c r="M64" s="102" t="e">
        <f aca="true" t="shared" si="18" ref="M64:M75">IF($H$58=$B64,M$63,0)</f>
        <v>#VALUE!</v>
      </c>
      <c r="N64" s="102" t="e">
        <f>IF($H$59=$B64,N$63,0)</f>
        <v>#VALUE!</v>
      </c>
      <c r="O64" s="332" t="e">
        <f aca="true" t="shared" si="19" ref="O64:O75">SUM(C64:N64)</f>
        <v>#VALUE!</v>
      </c>
      <c r="P64" s="55"/>
      <c r="Q64" s="55"/>
      <c r="R64" s="55"/>
    </row>
    <row r="65" spans="1:18" ht="12.75">
      <c r="A65" s="70"/>
      <c r="B65" s="198">
        <v>11</v>
      </c>
      <c r="C65" s="102">
        <f t="shared" si="8"/>
        <v>0</v>
      </c>
      <c r="D65" s="102">
        <f t="shared" si="9"/>
        <v>0</v>
      </c>
      <c r="E65" s="102">
        <f t="shared" si="10"/>
        <v>0</v>
      </c>
      <c r="F65" s="102">
        <f t="shared" si="11"/>
        <v>0</v>
      </c>
      <c r="G65" s="102" t="e">
        <f t="shared" si="12"/>
        <v>#VALUE!</v>
      </c>
      <c r="H65" s="102" t="e">
        <f t="shared" si="13"/>
        <v>#VALUE!</v>
      </c>
      <c r="I65" s="102" t="e">
        <f t="shared" si="14"/>
        <v>#VALUE!</v>
      </c>
      <c r="J65" s="102" t="e">
        <f t="shared" si="15"/>
        <v>#VALUE!</v>
      </c>
      <c r="K65" s="102" t="e">
        <f t="shared" si="16"/>
        <v>#VALUE!</v>
      </c>
      <c r="L65" s="102" t="e">
        <f t="shared" si="17"/>
        <v>#VALUE!</v>
      </c>
      <c r="M65" s="102" t="e">
        <f t="shared" si="18"/>
        <v>#VALUE!</v>
      </c>
      <c r="N65" s="102" t="e">
        <f aca="true" t="shared" si="20" ref="N65:N75">IF($H$59=$B65,N$63,0)</f>
        <v>#VALUE!</v>
      </c>
      <c r="O65" s="332" t="e">
        <f t="shared" si="19"/>
        <v>#VALUE!</v>
      </c>
      <c r="P65" s="55"/>
      <c r="Q65" s="55"/>
      <c r="R65" s="55"/>
    </row>
    <row r="66" spans="1:18" ht="12.75">
      <c r="A66" s="70"/>
      <c r="B66" s="198">
        <v>10</v>
      </c>
      <c r="C66" s="102">
        <f t="shared" si="8"/>
        <v>0</v>
      </c>
      <c r="D66" s="102">
        <f t="shared" si="9"/>
        <v>0</v>
      </c>
      <c r="E66" s="102">
        <f t="shared" si="10"/>
        <v>0</v>
      </c>
      <c r="F66" s="102">
        <f t="shared" si="11"/>
        <v>0</v>
      </c>
      <c r="G66" s="102" t="e">
        <f t="shared" si="12"/>
        <v>#VALUE!</v>
      </c>
      <c r="H66" s="102" t="e">
        <f t="shared" si="13"/>
        <v>#VALUE!</v>
      </c>
      <c r="I66" s="102" t="e">
        <f t="shared" si="14"/>
        <v>#VALUE!</v>
      </c>
      <c r="J66" s="102" t="e">
        <f t="shared" si="15"/>
        <v>#VALUE!</v>
      </c>
      <c r="K66" s="102" t="e">
        <f t="shared" si="16"/>
        <v>#VALUE!</v>
      </c>
      <c r="L66" s="102" t="e">
        <f t="shared" si="17"/>
        <v>#VALUE!</v>
      </c>
      <c r="M66" s="102" t="e">
        <f t="shared" si="18"/>
        <v>#VALUE!</v>
      </c>
      <c r="N66" s="102" t="e">
        <f t="shared" si="20"/>
        <v>#VALUE!</v>
      </c>
      <c r="O66" s="332" t="e">
        <f t="shared" si="19"/>
        <v>#VALUE!</v>
      </c>
      <c r="P66" s="55"/>
      <c r="Q66" s="55"/>
      <c r="R66" s="55"/>
    </row>
    <row r="67" spans="1:18" ht="12.75">
      <c r="A67" s="70"/>
      <c r="B67" s="198">
        <v>9</v>
      </c>
      <c r="C67" s="102">
        <f t="shared" si="8"/>
        <v>0</v>
      </c>
      <c r="D67" s="102">
        <f t="shared" si="9"/>
        <v>0</v>
      </c>
      <c r="E67" s="102">
        <f t="shared" si="10"/>
        <v>0</v>
      </c>
      <c r="F67" s="102">
        <f t="shared" si="11"/>
        <v>0</v>
      </c>
      <c r="G67" s="102" t="e">
        <f t="shared" si="12"/>
        <v>#VALUE!</v>
      </c>
      <c r="H67" s="102" t="e">
        <f t="shared" si="13"/>
        <v>#VALUE!</v>
      </c>
      <c r="I67" s="102" t="e">
        <f t="shared" si="14"/>
        <v>#VALUE!</v>
      </c>
      <c r="J67" s="102" t="e">
        <f t="shared" si="15"/>
        <v>#VALUE!</v>
      </c>
      <c r="K67" s="102" t="e">
        <f t="shared" si="16"/>
        <v>#VALUE!</v>
      </c>
      <c r="L67" s="102" t="e">
        <f t="shared" si="17"/>
        <v>#VALUE!</v>
      </c>
      <c r="M67" s="102" t="e">
        <f t="shared" si="18"/>
        <v>#VALUE!</v>
      </c>
      <c r="N67" s="102" t="e">
        <f t="shared" si="20"/>
        <v>#VALUE!</v>
      </c>
      <c r="O67" s="332" t="e">
        <f t="shared" si="19"/>
        <v>#VALUE!</v>
      </c>
      <c r="P67" s="55"/>
      <c r="Q67" s="55"/>
      <c r="R67" s="55"/>
    </row>
    <row r="68" spans="1:18" ht="12.75">
      <c r="A68" s="70"/>
      <c r="B68" s="198">
        <v>8</v>
      </c>
      <c r="C68" s="102">
        <f t="shared" si="8"/>
        <v>0</v>
      </c>
      <c r="D68" s="102">
        <f t="shared" si="9"/>
        <v>0</v>
      </c>
      <c r="E68" s="102">
        <f t="shared" si="10"/>
        <v>0</v>
      </c>
      <c r="F68" s="102">
        <f t="shared" si="11"/>
        <v>0</v>
      </c>
      <c r="G68" s="102" t="e">
        <f t="shared" si="12"/>
        <v>#VALUE!</v>
      </c>
      <c r="H68" s="102" t="e">
        <f t="shared" si="13"/>
        <v>#VALUE!</v>
      </c>
      <c r="I68" s="102" t="e">
        <f t="shared" si="14"/>
        <v>#VALUE!</v>
      </c>
      <c r="J68" s="102" t="e">
        <f t="shared" si="15"/>
        <v>#VALUE!</v>
      </c>
      <c r="K68" s="102" t="e">
        <f t="shared" si="16"/>
        <v>#VALUE!</v>
      </c>
      <c r="L68" s="102" t="e">
        <f t="shared" si="17"/>
        <v>#VALUE!</v>
      </c>
      <c r="M68" s="102" t="e">
        <f t="shared" si="18"/>
        <v>#VALUE!</v>
      </c>
      <c r="N68" s="102" t="e">
        <f t="shared" si="20"/>
        <v>#VALUE!</v>
      </c>
      <c r="O68" s="332" t="e">
        <f t="shared" si="19"/>
        <v>#VALUE!</v>
      </c>
      <c r="P68" s="55"/>
      <c r="Q68" s="55"/>
      <c r="R68" s="55"/>
    </row>
    <row r="69" spans="1:18" ht="12.75">
      <c r="A69" s="70"/>
      <c r="B69" s="198">
        <v>7</v>
      </c>
      <c r="C69" s="102">
        <f t="shared" si="8"/>
        <v>0</v>
      </c>
      <c r="D69" s="102">
        <f t="shared" si="9"/>
        <v>0</v>
      </c>
      <c r="E69" s="102">
        <f t="shared" si="10"/>
        <v>0</v>
      </c>
      <c r="F69" s="102">
        <f t="shared" si="11"/>
        <v>0</v>
      </c>
      <c r="G69" s="102" t="e">
        <f t="shared" si="12"/>
        <v>#VALUE!</v>
      </c>
      <c r="H69" s="102" t="e">
        <f t="shared" si="13"/>
        <v>#VALUE!</v>
      </c>
      <c r="I69" s="102" t="e">
        <f t="shared" si="14"/>
        <v>#VALUE!</v>
      </c>
      <c r="J69" s="102" t="e">
        <f t="shared" si="15"/>
        <v>#VALUE!</v>
      </c>
      <c r="K69" s="102" t="e">
        <f t="shared" si="16"/>
        <v>#VALUE!</v>
      </c>
      <c r="L69" s="102" t="e">
        <f t="shared" si="17"/>
        <v>#VALUE!</v>
      </c>
      <c r="M69" s="102" t="e">
        <f t="shared" si="18"/>
        <v>#VALUE!</v>
      </c>
      <c r="N69" s="102" t="e">
        <f t="shared" si="20"/>
        <v>#VALUE!</v>
      </c>
      <c r="O69" s="332" t="e">
        <f t="shared" si="19"/>
        <v>#VALUE!</v>
      </c>
      <c r="P69" s="55"/>
      <c r="Q69" s="55"/>
      <c r="R69" s="55"/>
    </row>
    <row r="70" spans="1:18" ht="12.75">
      <c r="A70" s="70"/>
      <c r="B70" s="198">
        <v>6</v>
      </c>
      <c r="C70" s="102">
        <f t="shared" si="8"/>
        <v>0</v>
      </c>
      <c r="D70" s="102">
        <f t="shared" si="9"/>
        <v>0</v>
      </c>
      <c r="E70" s="102">
        <f t="shared" si="10"/>
        <v>0</v>
      </c>
      <c r="F70" s="102">
        <f t="shared" si="11"/>
        <v>0</v>
      </c>
      <c r="G70" s="102" t="e">
        <f t="shared" si="12"/>
        <v>#VALUE!</v>
      </c>
      <c r="H70" s="102" t="e">
        <f t="shared" si="13"/>
        <v>#VALUE!</v>
      </c>
      <c r="I70" s="102" t="e">
        <f t="shared" si="14"/>
        <v>#VALUE!</v>
      </c>
      <c r="J70" s="102" t="e">
        <f t="shared" si="15"/>
        <v>#VALUE!</v>
      </c>
      <c r="K70" s="102" t="e">
        <f t="shared" si="16"/>
        <v>#VALUE!</v>
      </c>
      <c r="L70" s="102" t="e">
        <f t="shared" si="17"/>
        <v>#VALUE!</v>
      </c>
      <c r="M70" s="102" t="e">
        <f t="shared" si="18"/>
        <v>#VALUE!</v>
      </c>
      <c r="N70" s="102" t="e">
        <f t="shared" si="20"/>
        <v>#VALUE!</v>
      </c>
      <c r="O70" s="332" t="e">
        <f t="shared" si="19"/>
        <v>#VALUE!</v>
      </c>
      <c r="P70" s="55"/>
      <c r="Q70" s="55"/>
      <c r="R70" s="55"/>
    </row>
    <row r="71" spans="1:18" ht="12.75">
      <c r="A71" s="70"/>
      <c r="B71" s="198">
        <v>5</v>
      </c>
      <c r="C71" s="102">
        <f t="shared" si="8"/>
        <v>0</v>
      </c>
      <c r="D71" s="102">
        <f t="shared" si="9"/>
        <v>0</v>
      </c>
      <c r="E71" s="102">
        <f t="shared" si="10"/>
        <v>0</v>
      </c>
      <c r="F71" s="102">
        <f t="shared" si="11"/>
        <v>0</v>
      </c>
      <c r="G71" s="102" t="e">
        <f t="shared" si="12"/>
        <v>#VALUE!</v>
      </c>
      <c r="H71" s="102" t="e">
        <f t="shared" si="13"/>
        <v>#VALUE!</v>
      </c>
      <c r="I71" s="102" t="e">
        <f t="shared" si="14"/>
        <v>#VALUE!</v>
      </c>
      <c r="J71" s="102" t="e">
        <f t="shared" si="15"/>
        <v>#VALUE!</v>
      </c>
      <c r="K71" s="102" t="e">
        <f t="shared" si="16"/>
        <v>#VALUE!</v>
      </c>
      <c r="L71" s="102" t="e">
        <f t="shared" si="17"/>
        <v>#VALUE!</v>
      </c>
      <c r="M71" s="102" t="e">
        <f t="shared" si="18"/>
        <v>#VALUE!</v>
      </c>
      <c r="N71" s="102" t="e">
        <f t="shared" si="20"/>
        <v>#VALUE!</v>
      </c>
      <c r="O71" s="332" t="e">
        <f t="shared" si="19"/>
        <v>#VALUE!</v>
      </c>
      <c r="P71" s="55"/>
      <c r="Q71" s="55"/>
      <c r="R71" s="55"/>
    </row>
    <row r="72" spans="1:18" ht="12.75">
      <c r="A72" s="70"/>
      <c r="B72" s="198">
        <v>4</v>
      </c>
      <c r="C72" s="102">
        <f t="shared" si="8"/>
        <v>0</v>
      </c>
      <c r="D72" s="102">
        <f t="shared" si="9"/>
        <v>0</v>
      </c>
      <c r="E72" s="102">
        <f t="shared" si="10"/>
        <v>0</v>
      </c>
      <c r="F72" s="102">
        <f t="shared" si="11"/>
        <v>0</v>
      </c>
      <c r="G72" s="102" t="e">
        <f t="shared" si="12"/>
        <v>#VALUE!</v>
      </c>
      <c r="H72" s="102" t="e">
        <f t="shared" si="13"/>
        <v>#VALUE!</v>
      </c>
      <c r="I72" s="102" t="e">
        <f t="shared" si="14"/>
        <v>#VALUE!</v>
      </c>
      <c r="J72" s="102" t="e">
        <f t="shared" si="15"/>
        <v>#VALUE!</v>
      </c>
      <c r="K72" s="102" t="e">
        <f t="shared" si="16"/>
        <v>#VALUE!</v>
      </c>
      <c r="L72" s="102" t="e">
        <f t="shared" si="17"/>
        <v>#VALUE!</v>
      </c>
      <c r="M72" s="102" t="e">
        <f t="shared" si="18"/>
        <v>#VALUE!</v>
      </c>
      <c r="N72" s="102" t="e">
        <f t="shared" si="20"/>
        <v>#VALUE!</v>
      </c>
      <c r="O72" s="332" t="e">
        <f t="shared" si="19"/>
        <v>#VALUE!</v>
      </c>
      <c r="P72" s="55"/>
      <c r="Q72" s="55"/>
      <c r="R72" s="55"/>
    </row>
    <row r="73" spans="1:18" ht="12.75">
      <c r="A73" s="70"/>
      <c r="B73" s="198">
        <v>3</v>
      </c>
      <c r="C73" s="102">
        <f t="shared" si="8"/>
        <v>0</v>
      </c>
      <c r="D73" s="102">
        <f t="shared" si="9"/>
        <v>0</v>
      </c>
      <c r="E73" s="102">
        <f t="shared" si="10"/>
        <v>0</v>
      </c>
      <c r="F73" s="102">
        <f t="shared" si="11"/>
        <v>0</v>
      </c>
      <c r="G73" s="102" t="e">
        <f t="shared" si="12"/>
        <v>#VALUE!</v>
      </c>
      <c r="H73" s="102" t="e">
        <f t="shared" si="13"/>
        <v>#VALUE!</v>
      </c>
      <c r="I73" s="102" t="e">
        <f t="shared" si="14"/>
        <v>#VALUE!</v>
      </c>
      <c r="J73" s="102" t="e">
        <f t="shared" si="15"/>
        <v>#VALUE!</v>
      </c>
      <c r="K73" s="102" t="e">
        <f t="shared" si="16"/>
        <v>#VALUE!</v>
      </c>
      <c r="L73" s="102" t="e">
        <f t="shared" si="17"/>
        <v>#VALUE!</v>
      </c>
      <c r="M73" s="102" t="e">
        <f t="shared" si="18"/>
        <v>#VALUE!</v>
      </c>
      <c r="N73" s="102" t="e">
        <f t="shared" si="20"/>
        <v>#VALUE!</v>
      </c>
      <c r="O73" s="332" t="e">
        <f t="shared" si="19"/>
        <v>#VALUE!</v>
      </c>
      <c r="P73" s="55"/>
      <c r="Q73" s="55"/>
      <c r="R73" s="55"/>
    </row>
    <row r="74" spans="1:18" ht="12.75">
      <c r="A74" s="70"/>
      <c r="B74" s="198">
        <v>2</v>
      </c>
      <c r="C74" s="102">
        <f t="shared" si="8"/>
        <v>0</v>
      </c>
      <c r="D74" s="102">
        <f t="shared" si="9"/>
        <v>0</v>
      </c>
      <c r="E74" s="102">
        <f t="shared" si="10"/>
        <v>0</v>
      </c>
      <c r="F74" s="102">
        <f t="shared" si="11"/>
        <v>0</v>
      </c>
      <c r="G74" s="102" t="e">
        <f t="shared" si="12"/>
        <v>#VALUE!</v>
      </c>
      <c r="H74" s="102" t="e">
        <f t="shared" si="13"/>
        <v>#VALUE!</v>
      </c>
      <c r="I74" s="102" t="e">
        <f t="shared" si="14"/>
        <v>#VALUE!</v>
      </c>
      <c r="J74" s="102" t="e">
        <f t="shared" si="15"/>
        <v>#VALUE!</v>
      </c>
      <c r="K74" s="102" t="e">
        <f t="shared" si="16"/>
        <v>#VALUE!</v>
      </c>
      <c r="L74" s="102" t="e">
        <f t="shared" si="17"/>
        <v>#VALUE!</v>
      </c>
      <c r="M74" s="102" t="e">
        <f t="shared" si="18"/>
        <v>#VALUE!</v>
      </c>
      <c r="N74" s="102" t="e">
        <f t="shared" si="20"/>
        <v>#VALUE!</v>
      </c>
      <c r="O74" s="332" t="e">
        <f t="shared" si="19"/>
        <v>#VALUE!</v>
      </c>
      <c r="P74" s="55"/>
      <c r="Q74" s="55"/>
      <c r="R74" s="55"/>
    </row>
    <row r="75" spans="1:18" ht="12.75">
      <c r="A75" s="70"/>
      <c r="B75" s="198">
        <v>1</v>
      </c>
      <c r="C75" s="102">
        <f t="shared" si="8"/>
        <v>0</v>
      </c>
      <c r="D75" s="102">
        <f t="shared" si="9"/>
        <v>0</v>
      </c>
      <c r="E75" s="102">
        <f t="shared" si="10"/>
        <v>0</v>
      </c>
      <c r="F75" s="102">
        <f t="shared" si="11"/>
        <v>0</v>
      </c>
      <c r="G75" s="102" t="e">
        <f t="shared" si="12"/>
        <v>#VALUE!</v>
      </c>
      <c r="H75" s="102" t="e">
        <f t="shared" si="13"/>
        <v>#VALUE!</v>
      </c>
      <c r="I75" s="102" t="e">
        <f t="shared" si="14"/>
        <v>#VALUE!</v>
      </c>
      <c r="J75" s="102" t="e">
        <f t="shared" si="15"/>
        <v>#VALUE!</v>
      </c>
      <c r="K75" s="102" t="e">
        <f t="shared" si="16"/>
        <v>#VALUE!</v>
      </c>
      <c r="L75" s="102" t="e">
        <f t="shared" si="17"/>
        <v>#VALUE!</v>
      </c>
      <c r="M75" s="102" t="e">
        <f t="shared" si="18"/>
        <v>#VALUE!</v>
      </c>
      <c r="N75" s="102" t="e">
        <f t="shared" si="20"/>
        <v>#VALUE!</v>
      </c>
      <c r="O75" s="332" t="e">
        <f t="shared" si="19"/>
        <v>#VALUE!</v>
      </c>
      <c r="P75" s="55"/>
      <c r="Q75" s="55"/>
      <c r="R75" s="55"/>
    </row>
    <row r="76" spans="1:18" ht="12.75">
      <c r="A76" s="70"/>
      <c r="B76" s="56"/>
      <c r="C76" s="57"/>
      <c r="D76" s="58"/>
      <c r="E76" s="59"/>
      <c r="F76" s="57"/>
      <c r="G76" s="57"/>
      <c r="H76" s="101"/>
      <c r="I76" s="333"/>
      <c r="J76" s="55"/>
      <c r="K76" s="55"/>
      <c r="L76" s="55"/>
      <c r="M76" s="55"/>
      <c r="N76" s="55"/>
      <c r="O76" s="55"/>
      <c r="P76" s="55"/>
      <c r="Q76" s="55"/>
      <c r="R76" s="55"/>
    </row>
    <row r="78" spans="1:5" ht="12.75">
      <c r="A78" s="71" t="s">
        <v>52</v>
      </c>
      <c r="E78" s="99"/>
    </row>
    <row r="79" spans="7:9" ht="12.75">
      <c r="G79"/>
      <c r="H79" s="582" t="s">
        <v>262</v>
      </c>
      <c r="I79" s="585">
        <f>G4</f>
        <v>0.9500000000000001</v>
      </c>
    </row>
    <row r="80" spans="2:10" ht="13.5" thickBot="1">
      <c r="B80" s="67"/>
      <c r="C80" s="129" t="s">
        <v>124</v>
      </c>
      <c r="D80" s="57"/>
      <c r="E80" s="58"/>
      <c r="F80" s="59"/>
      <c r="G80" s="57"/>
      <c r="H80" s="57"/>
      <c r="I80"/>
      <c r="J80" s="73"/>
    </row>
    <row r="81" spans="1:10" ht="12.75">
      <c r="A81" s="38" t="s">
        <v>23</v>
      </c>
      <c r="B81" s="78"/>
      <c r="C81" s="38" t="s">
        <v>23</v>
      </c>
      <c r="D81" s="576" t="s">
        <v>24</v>
      </c>
      <c r="E81" s="20" t="s">
        <v>26</v>
      </c>
      <c r="F81" s="21" t="s">
        <v>32</v>
      </c>
      <c r="G81" s="20" t="s">
        <v>53</v>
      </c>
      <c r="H81" s="580" t="s">
        <v>263</v>
      </c>
      <c r="I81" s="17"/>
      <c r="J81" s="73"/>
    </row>
    <row r="82" spans="1:10" ht="13.5" thickBot="1">
      <c r="A82" s="39" t="s">
        <v>153</v>
      </c>
      <c r="B82" s="72" t="s">
        <v>56</v>
      </c>
      <c r="C82" s="39" t="s">
        <v>104</v>
      </c>
      <c r="D82" s="577" t="s">
        <v>25</v>
      </c>
      <c r="E82" s="22" t="s">
        <v>27</v>
      </c>
      <c r="F82" s="23" t="s">
        <v>33</v>
      </c>
      <c r="G82" s="22" t="s">
        <v>54</v>
      </c>
      <c r="H82" s="18" t="s">
        <v>28</v>
      </c>
      <c r="I82" s="19" t="s">
        <v>29</v>
      </c>
      <c r="J82" s="74"/>
    </row>
    <row r="83" spans="1:14" ht="12.75">
      <c r="A83" s="269" t="str">
        <f>IF($C83&gt;$E$5," ",IF($C83&lt;7,A83," "))</f>
        <v> </v>
      </c>
      <c r="B83" s="334">
        <f aca="true" t="shared" si="21" ref="B83:B93">IF(B84&lt;E$5-0.1,B84+1,99)</f>
        <v>99</v>
      </c>
      <c r="C83" s="241">
        <f aca="true" t="shared" si="22" ref="C83:C94">IF(H48&lt;E$5+0.1,CHOOSE(B83,$O$75,$O$74,$O$73,$O$72,$O$71,$O$70,$O$69,$O$68,$O$67,$O$66,$O$65,$O$64),"")</f>
      </c>
      <c r="D83" s="614">
        <f>IF(G84&lt;E$3,LARGE(C$48:C$59,12),"")</f>
      </c>
      <c r="E83" s="615">
        <f aca="true" t="shared" si="23" ref="E83:E94">IF(B83&lt;88,CHOOSE(C83,$D$59,$D$58,$D$57,$D$56,$D$55,$D$54,$D$53,$D$52,$D$51,$D$50,$D$49,$D$48),"")</f>
      </c>
      <c r="F83" s="157">
        <f aca="true" t="shared" si="24" ref="F83:F94">IF(B83&lt;88,CHOOSE(C83,$E$59,$E$58,$E$57,$E$56,$E$55,$E$54,$E$53,$E$52,$E$51,$E$50,$E$49,$E$48,""),0)</f>
        <v>0</v>
      </c>
      <c r="G83" s="616" t="str">
        <f aca="true" t="shared" si="25" ref="G83:G91">IF(J83=0,"  ",F83+G84)</f>
        <v>  </v>
      </c>
      <c r="H83" s="617" t="str">
        <f>IF(OR(C83&gt;E$5,F83&lt;1.5)," ",D83-E83*(TINV((1-$I$79),(F83-1))))</f>
        <v> </v>
      </c>
      <c r="I83" s="618" t="str">
        <f>IF(OR(C83&gt;E$5,F83&lt;1.5)," ",D83+E83*(TINV((1-$I$79),(F83-1))))</f>
        <v> </v>
      </c>
      <c r="J83" s="74">
        <f>MAX(E5-B83+1,0)</f>
        <v>0</v>
      </c>
      <c r="K83" s="211" t="str">
        <f aca="true" t="shared" si="26" ref="K83:K94">IF(OR($C83&gt;6,$C83&gt;$E$5)," ",IF($C83=1,"A",IF($C83=2,"B",IF($C83=3,"C",IF($C83=4,"D",IF($C83=5,"E",IF($C83=6,"F","  ")))))))</f>
        <v> </v>
      </c>
      <c r="L83" s="212" t="str">
        <f aca="true" t="shared" si="27" ref="L83:L94">IF(OR($C83&lt;7,$C83&gt;$E$5)," ",IF($C83=7,"G",IF($C83=8,"H",IF($C83=9,"I",IF($C83=10,"J",IF($C83=11,"K",IF($C83=12,"L","  ")))))))</f>
        <v> </v>
      </c>
      <c r="N83" s="269" t="str">
        <f aca="true" t="shared" si="28" ref="N83:N94">IF($C83&gt;$E$5," ",IF($C83&lt;7,X83,Y83))</f>
        <v> </v>
      </c>
    </row>
    <row r="84" spans="1:14" ht="12.75">
      <c r="A84" s="270" t="str">
        <f aca="true" t="shared" si="29" ref="A84:A94">IF($C84&gt;$E$5," ",IF($C84&lt;7,K84,L84))</f>
        <v> </v>
      </c>
      <c r="B84" s="334">
        <f t="shared" si="21"/>
        <v>99</v>
      </c>
      <c r="C84" s="245">
        <f t="shared" si="22"/>
      </c>
      <c r="D84" s="578">
        <f>IF(G85&lt;E$3,LARGE(C$48:C$59,11),"")</f>
      </c>
      <c r="E84" s="65">
        <f t="shared" si="23"/>
      </c>
      <c r="F84" s="27">
        <f t="shared" si="24"/>
        <v>0</v>
      </c>
      <c r="G84" s="9" t="str">
        <f t="shared" si="25"/>
        <v>  </v>
      </c>
      <c r="H84" s="26" t="str">
        <f>IF(OR(C84&gt;E$5,F84&lt;1.5)," ",D84-E84*(TINV((1-$I$79),(F84-1))))</f>
        <v> </v>
      </c>
      <c r="I84" s="28" t="str">
        <f>IF(OR(C84&gt;E$5,F84&lt;1.5)," ",D84+E84*(TINV((1-$I$79),(F84-1))))</f>
        <v> </v>
      </c>
      <c r="J84" s="74">
        <f>MAX(E5-B84+1,0)</f>
        <v>0</v>
      </c>
      <c r="K84" s="213" t="str">
        <f t="shared" si="26"/>
        <v> </v>
      </c>
      <c r="L84" s="214" t="str">
        <f t="shared" si="27"/>
        <v> </v>
      </c>
      <c r="N84" s="270" t="str">
        <f t="shared" si="28"/>
        <v> </v>
      </c>
    </row>
    <row r="85" spans="1:14" ht="12.75">
      <c r="A85" s="270" t="str">
        <f t="shared" si="29"/>
        <v> </v>
      </c>
      <c r="B85" s="334">
        <f t="shared" si="21"/>
        <v>99</v>
      </c>
      <c r="C85" s="245">
        <f t="shared" si="22"/>
      </c>
      <c r="D85" s="578">
        <f>IF(G86&lt;E$3,LARGE(C$48:C$59,10),"")</f>
      </c>
      <c r="E85" s="65">
        <f t="shared" si="23"/>
      </c>
      <c r="F85" s="27">
        <f t="shared" si="24"/>
        <v>0</v>
      </c>
      <c r="G85" s="9" t="str">
        <f t="shared" si="25"/>
        <v>  </v>
      </c>
      <c r="H85" s="26" t="str">
        <f>IF(OR(C85&gt;E$5,F85&lt;1.5)," ",D85-E85*(TINV((1-$I$79),(F85-1))))</f>
        <v> </v>
      </c>
      <c r="I85" s="28" t="str">
        <f>IF(OR(C85&gt;E$5,F85&lt;1.5)," ",D85+E85*(TINV((1-$I$79),(F85-1))))</f>
        <v> </v>
      </c>
      <c r="J85" s="74">
        <f>MAX(E5-B85+1,0)</f>
        <v>0</v>
      </c>
      <c r="K85" s="213" t="str">
        <f t="shared" si="26"/>
        <v> </v>
      </c>
      <c r="L85" s="214" t="str">
        <f t="shared" si="27"/>
        <v> </v>
      </c>
      <c r="N85" s="270" t="str">
        <f t="shared" si="28"/>
        <v> </v>
      </c>
    </row>
    <row r="86" spans="1:14" ht="12.75">
      <c r="A86" s="270" t="str">
        <f t="shared" si="29"/>
        <v> </v>
      </c>
      <c r="B86" s="334">
        <f t="shared" si="21"/>
        <v>99</v>
      </c>
      <c r="C86" s="245">
        <f t="shared" si="22"/>
      </c>
      <c r="D86" s="578" t="e">
        <f>IF(G87&lt;E$3,LARGE(C$48:C$59,9),"")</f>
        <v>#VALUE!</v>
      </c>
      <c r="E86" s="65">
        <f t="shared" si="23"/>
      </c>
      <c r="F86" s="27">
        <f t="shared" si="24"/>
        <v>0</v>
      </c>
      <c r="G86" s="9" t="str">
        <f t="shared" si="25"/>
        <v>  </v>
      </c>
      <c r="H86" s="26" t="str">
        <f>IF(OR(C86&gt;E$5,F86&lt;1.5)," ",D86-E86*(TINV((1-$I$79),(F86-1))))</f>
        <v> </v>
      </c>
      <c r="I86" s="28" t="str">
        <f>IF(OR(C86&gt;E$5,F86&lt;1.5)," ",D86+E86*(TINV((1-$I$79),(F86-1))))</f>
        <v> </v>
      </c>
      <c r="J86" s="74">
        <f>MAX(E5-B86+1,0)</f>
        <v>0</v>
      </c>
      <c r="K86" s="213" t="str">
        <f t="shared" si="26"/>
        <v> </v>
      </c>
      <c r="L86" s="214" t="str">
        <f t="shared" si="27"/>
        <v> </v>
      </c>
      <c r="N86" s="270" t="str">
        <f t="shared" si="28"/>
        <v> </v>
      </c>
    </row>
    <row r="87" spans="1:14" ht="12.75">
      <c r="A87" s="270" t="e">
        <f t="shared" si="29"/>
        <v>#VALUE!</v>
      </c>
      <c r="B87" s="334">
        <f t="shared" si="21"/>
        <v>8</v>
      </c>
      <c r="C87" s="245" t="e">
        <f t="shared" si="22"/>
        <v>#VALUE!</v>
      </c>
      <c r="D87" s="578" t="e">
        <f>IF(G88&lt;E$3,LARGE(C$48:C$59,8),"")</f>
        <v>#VALUE!</v>
      </c>
      <c r="E87" s="65" t="e">
        <f t="shared" si="23"/>
        <v>#VALUE!</v>
      </c>
      <c r="F87" s="27" t="e">
        <f t="shared" si="24"/>
        <v>#VALUE!</v>
      </c>
      <c r="G87" s="9" t="e">
        <f t="shared" si="25"/>
        <v>#VALUE!</v>
      </c>
      <c r="H87" s="26" t="e">
        <f aca="true" t="shared" si="30" ref="H87:H94">IF(OR(C87&gt;E$5,F87&lt;1.5)," ",D87-E87*(TINV((1-$I$79),(F87-1))))</f>
        <v>#VALUE!</v>
      </c>
      <c r="I87" s="28" t="e">
        <f aca="true" t="shared" si="31" ref="I87:I94">IF(OR(C87&gt;E$5,F87&lt;1.5)," ",D87+E87*(TINV((1-$I$79),(F87-1))))</f>
        <v>#VALUE!</v>
      </c>
      <c r="J87" s="74">
        <f>MAX(E5-B87+1,0)</f>
        <v>1</v>
      </c>
      <c r="K87" s="213" t="e">
        <f t="shared" si="26"/>
        <v>#VALUE!</v>
      </c>
      <c r="L87" s="214" t="e">
        <f t="shared" si="27"/>
        <v>#VALUE!</v>
      </c>
      <c r="N87" s="270" t="e">
        <f t="shared" si="28"/>
        <v>#VALUE!</v>
      </c>
    </row>
    <row r="88" spans="1:14" ht="12.75">
      <c r="A88" s="270" t="e">
        <f t="shared" si="29"/>
        <v>#VALUE!</v>
      </c>
      <c r="B88" s="334">
        <f t="shared" si="21"/>
        <v>7</v>
      </c>
      <c r="C88" s="245" t="e">
        <f t="shared" si="22"/>
        <v>#VALUE!</v>
      </c>
      <c r="D88" s="578" t="e">
        <f>IF(G89&lt;E$3,LARGE(C$48:C$59,7),"")</f>
        <v>#VALUE!</v>
      </c>
      <c r="E88" s="65" t="e">
        <f t="shared" si="23"/>
        <v>#VALUE!</v>
      </c>
      <c r="F88" s="27" t="e">
        <f t="shared" si="24"/>
        <v>#VALUE!</v>
      </c>
      <c r="G88" s="9" t="e">
        <f t="shared" si="25"/>
        <v>#VALUE!</v>
      </c>
      <c r="H88" s="26" t="e">
        <f t="shared" si="30"/>
        <v>#VALUE!</v>
      </c>
      <c r="I88" s="28" t="e">
        <f t="shared" si="31"/>
        <v>#VALUE!</v>
      </c>
      <c r="J88" s="74">
        <f>MAX(E5-B88+1,0)</f>
        <v>2</v>
      </c>
      <c r="K88" s="213" t="e">
        <f t="shared" si="26"/>
        <v>#VALUE!</v>
      </c>
      <c r="L88" s="214" t="e">
        <f t="shared" si="27"/>
        <v>#VALUE!</v>
      </c>
      <c r="N88" s="270" t="e">
        <f t="shared" si="28"/>
        <v>#VALUE!</v>
      </c>
    </row>
    <row r="89" spans="1:14" ht="12.75">
      <c r="A89" s="270" t="e">
        <f t="shared" si="29"/>
        <v>#VALUE!</v>
      </c>
      <c r="B89" s="334">
        <f t="shared" si="21"/>
        <v>6</v>
      </c>
      <c r="C89" s="245" t="e">
        <f t="shared" si="22"/>
        <v>#VALUE!</v>
      </c>
      <c r="D89" s="578" t="e">
        <f>IF(G90&lt;E$3,LARGE(C$48:C$59,6),"")</f>
        <v>#VALUE!</v>
      </c>
      <c r="E89" s="65" t="e">
        <f t="shared" si="23"/>
        <v>#VALUE!</v>
      </c>
      <c r="F89" s="27" t="e">
        <f t="shared" si="24"/>
        <v>#VALUE!</v>
      </c>
      <c r="G89" s="9" t="e">
        <f t="shared" si="25"/>
        <v>#VALUE!</v>
      </c>
      <c r="H89" s="26" t="e">
        <f t="shared" si="30"/>
        <v>#VALUE!</v>
      </c>
      <c r="I89" s="28" t="e">
        <f t="shared" si="31"/>
        <v>#VALUE!</v>
      </c>
      <c r="J89" s="74">
        <f>MAX(E5-B89+1,0)</f>
        <v>3</v>
      </c>
      <c r="K89" s="213" t="e">
        <f t="shared" si="26"/>
        <v>#VALUE!</v>
      </c>
      <c r="L89" s="214" t="e">
        <f t="shared" si="27"/>
        <v>#VALUE!</v>
      </c>
      <c r="N89" s="270" t="e">
        <f t="shared" si="28"/>
        <v>#VALUE!</v>
      </c>
    </row>
    <row r="90" spans="1:14" ht="12.75">
      <c r="A90" s="270" t="e">
        <f t="shared" si="29"/>
        <v>#VALUE!</v>
      </c>
      <c r="B90" s="334">
        <f t="shared" si="21"/>
        <v>5</v>
      </c>
      <c r="C90" s="245" t="e">
        <f t="shared" si="22"/>
        <v>#VALUE!</v>
      </c>
      <c r="D90" s="578" t="e">
        <f>IF(G91&lt;E$3,LARGE(C$48:C$59,5),"")</f>
        <v>#VALUE!</v>
      </c>
      <c r="E90" s="65" t="e">
        <f t="shared" si="23"/>
        <v>#VALUE!</v>
      </c>
      <c r="F90" s="27" t="e">
        <f t="shared" si="24"/>
        <v>#VALUE!</v>
      </c>
      <c r="G90" s="9" t="e">
        <f t="shared" si="25"/>
        <v>#VALUE!</v>
      </c>
      <c r="H90" s="26" t="e">
        <f t="shared" si="30"/>
        <v>#VALUE!</v>
      </c>
      <c r="I90" s="28" t="e">
        <f t="shared" si="31"/>
        <v>#VALUE!</v>
      </c>
      <c r="J90" s="74">
        <f>MAX(E5-B90+1,0)</f>
        <v>4</v>
      </c>
      <c r="K90" s="213" t="e">
        <f t="shared" si="26"/>
        <v>#VALUE!</v>
      </c>
      <c r="L90" s="214" t="e">
        <f t="shared" si="27"/>
        <v>#VALUE!</v>
      </c>
      <c r="N90" s="270" t="e">
        <f t="shared" si="28"/>
        <v>#VALUE!</v>
      </c>
    </row>
    <row r="91" spans="1:14" ht="12.75">
      <c r="A91" s="270" t="e">
        <f t="shared" si="29"/>
        <v>#VALUE!</v>
      </c>
      <c r="B91" s="334">
        <f t="shared" si="21"/>
        <v>4</v>
      </c>
      <c r="C91" s="245" t="e">
        <f t="shared" si="22"/>
        <v>#VALUE!</v>
      </c>
      <c r="D91" s="578" t="e">
        <f>IF(G92&lt;E$3,LARGE(C$48:C$59,4),"")</f>
        <v>#VALUE!</v>
      </c>
      <c r="E91" s="65" t="e">
        <f t="shared" si="23"/>
        <v>#VALUE!</v>
      </c>
      <c r="F91" s="27" t="e">
        <f t="shared" si="24"/>
        <v>#VALUE!</v>
      </c>
      <c r="G91" s="9" t="e">
        <f t="shared" si="25"/>
        <v>#VALUE!</v>
      </c>
      <c r="H91" s="26" t="e">
        <f t="shared" si="30"/>
        <v>#VALUE!</v>
      </c>
      <c r="I91" s="28" t="e">
        <f t="shared" si="31"/>
        <v>#VALUE!</v>
      </c>
      <c r="J91" s="74">
        <f>MAX(E5-B91+1,0)</f>
        <v>5</v>
      </c>
      <c r="K91" s="213" t="e">
        <f t="shared" si="26"/>
        <v>#VALUE!</v>
      </c>
      <c r="L91" s="214" t="e">
        <f t="shared" si="27"/>
        <v>#VALUE!</v>
      </c>
      <c r="N91" s="270" t="e">
        <f t="shared" si="28"/>
        <v>#VALUE!</v>
      </c>
    </row>
    <row r="92" spans="1:14" ht="12.75">
      <c r="A92" s="270" t="e">
        <f t="shared" si="29"/>
        <v>#VALUE!</v>
      </c>
      <c r="B92" s="334">
        <f t="shared" si="21"/>
        <v>3</v>
      </c>
      <c r="C92" s="245" t="e">
        <f t="shared" si="22"/>
        <v>#VALUE!</v>
      </c>
      <c r="D92" s="578" t="e">
        <f>IF(G93&lt;E$3,LARGE(C$48:C$59,3),"")</f>
        <v>#VALUE!</v>
      </c>
      <c r="E92" s="65" t="e">
        <f t="shared" si="23"/>
        <v>#VALUE!</v>
      </c>
      <c r="F92" s="27" t="e">
        <f t="shared" si="24"/>
        <v>#VALUE!</v>
      </c>
      <c r="G92" s="9" t="e">
        <f>IF(J92=0,"  ",F92+G93)</f>
        <v>#VALUE!</v>
      </c>
      <c r="H92" s="26" t="e">
        <f t="shared" si="30"/>
        <v>#VALUE!</v>
      </c>
      <c r="I92" s="28" t="e">
        <f t="shared" si="31"/>
        <v>#VALUE!</v>
      </c>
      <c r="J92" s="74">
        <f>MAX(E5-B92+1,0)</f>
        <v>6</v>
      </c>
      <c r="K92" s="213" t="e">
        <f t="shared" si="26"/>
        <v>#VALUE!</v>
      </c>
      <c r="L92" s="214" t="e">
        <f t="shared" si="27"/>
        <v>#VALUE!</v>
      </c>
      <c r="N92" s="270" t="e">
        <f t="shared" si="28"/>
        <v>#VALUE!</v>
      </c>
    </row>
    <row r="93" spans="1:14" ht="12.75">
      <c r="A93" s="270" t="e">
        <f t="shared" si="29"/>
        <v>#VALUE!</v>
      </c>
      <c r="B93" s="334">
        <f t="shared" si="21"/>
        <v>2</v>
      </c>
      <c r="C93" s="245" t="e">
        <f t="shared" si="22"/>
        <v>#VALUE!</v>
      </c>
      <c r="D93" s="578" t="e">
        <f>IF(G94&lt;E$3,LARGE(C$48:C$59,2),"")</f>
        <v>#VALUE!</v>
      </c>
      <c r="E93" s="65" t="e">
        <f t="shared" si="23"/>
        <v>#VALUE!</v>
      </c>
      <c r="F93" s="27" t="e">
        <f t="shared" si="24"/>
        <v>#VALUE!</v>
      </c>
      <c r="G93" s="9" t="e">
        <f>F93+G94</f>
        <v>#VALUE!</v>
      </c>
      <c r="H93" s="26" t="e">
        <f t="shared" si="30"/>
        <v>#VALUE!</v>
      </c>
      <c r="I93" s="28" t="e">
        <f t="shared" si="31"/>
        <v>#VALUE!</v>
      </c>
      <c r="J93" s="74">
        <f>MAX(E5-B93+1,0)</f>
        <v>7</v>
      </c>
      <c r="K93" s="213" t="e">
        <f t="shared" si="26"/>
        <v>#VALUE!</v>
      </c>
      <c r="L93" s="214" t="e">
        <f t="shared" si="27"/>
        <v>#VALUE!</v>
      </c>
      <c r="N93" s="270" t="e">
        <f t="shared" si="28"/>
        <v>#VALUE!</v>
      </c>
    </row>
    <row r="94" spans="1:14" ht="13.5" thickBot="1">
      <c r="A94" s="331" t="e">
        <f t="shared" si="29"/>
        <v>#VALUE!</v>
      </c>
      <c r="B94" s="130">
        <v>1</v>
      </c>
      <c r="C94" s="249" t="e">
        <f t="shared" si="22"/>
        <v>#VALUE!</v>
      </c>
      <c r="D94" s="579">
        <f>MAX(C48:C59)</f>
        <v>0</v>
      </c>
      <c r="E94" s="131" t="e">
        <f t="shared" si="23"/>
        <v>#VALUE!</v>
      </c>
      <c r="F94" s="161" t="e">
        <f t="shared" si="24"/>
        <v>#VALUE!</v>
      </c>
      <c r="G94" s="132" t="e">
        <f>F94</f>
        <v>#VALUE!</v>
      </c>
      <c r="H94" s="133" t="e">
        <f t="shared" si="30"/>
        <v>#VALUE!</v>
      </c>
      <c r="I94" s="134" t="e">
        <f t="shared" si="31"/>
        <v>#VALUE!</v>
      </c>
      <c r="J94" s="74">
        <f>MAX(E5-B94+1,0)</f>
        <v>8</v>
      </c>
      <c r="K94" s="215" t="e">
        <f t="shared" si="26"/>
        <v>#VALUE!</v>
      </c>
      <c r="L94" s="216" t="e">
        <f t="shared" si="27"/>
        <v>#VALUE!</v>
      </c>
      <c r="N94" s="331" t="e">
        <f t="shared" si="28"/>
        <v>#VALUE!</v>
      </c>
    </row>
    <row r="95" spans="1:9" ht="12.75">
      <c r="A95" s="70"/>
      <c r="B95" s="56"/>
      <c r="C95" s="57"/>
      <c r="D95" s="58"/>
      <c r="E95" s="59"/>
      <c r="F95" s="57"/>
      <c r="G95" s="57"/>
      <c r="H95" s="55"/>
      <c r="I95" s="74"/>
    </row>
  </sheetData>
  <sheetProtection password="C550" sheet="1"/>
  <mergeCells count="2">
    <mergeCell ref="B22:H22"/>
    <mergeCell ref="B23:H23"/>
  </mergeCells>
  <conditionalFormatting sqref="B83:B94">
    <cfRule type="cellIs" priority="1" dxfId="1" operator="greaterThan" stopIfTrue="1">
      <formula>90</formula>
    </cfRule>
  </conditionalFormatting>
  <conditionalFormatting sqref="F83:F94">
    <cfRule type="cellIs" priority="2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F38"/>
  <sheetViews>
    <sheetView showGridLines="0" zoomScalePageLayoutView="0" workbookViewId="0" topLeftCell="A1">
      <selection activeCell="H24" sqref="H24"/>
    </sheetView>
  </sheetViews>
  <sheetFormatPr defaultColWidth="8.8515625" defaultRowHeight="12.75"/>
  <cols>
    <col min="1" max="1" width="50.7109375" style="3" customWidth="1"/>
    <col min="2" max="2" width="7.7109375" style="3" customWidth="1"/>
    <col min="3" max="3" width="4.7109375" style="3" customWidth="1"/>
    <col min="4" max="4" width="10.8515625" style="3" customWidth="1"/>
    <col min="5" max="5" width="11.7109375" style="3" customWidth="1"/>
    <col min="6" max="16384" width="8.8515625" style="3" customWidth="1"/>
  </cols>
  <sheetData>
    <row r="1" spans="1:5" ht="14.25" thickBot="1" thickTop="1">
      <c r="A1" s="357" t="s">
        <v>202</v>
      </c>
      <c r="B1" s="358"/>
      <c r="C1" s="358"/>
      <c r="D1" s="358"/>
      <c r="E1" s="359"/>
    </row>
    <row r="2" spans="1:5" ht="14.25" thickBot="1" thickTop="1">
      <c r="A2" s="360"/>
      <c r="B2" s="361"/>
      <c r="C2" s="361"/>
      <c r="D2" s="361"/>
      <c r="E2" s="362"/>
    </row>
    <row r="3" spans="1:5" ht="13.5" thickTop="1">
      <c r="A3" s="363" t="s">
        <v>203</v>
      </c>
      <c r="B3" s="364"/>
      <c r="C3" s="364"/>
      <c r="D3" s="364"/>
      <c r="E3" s="365"/>
    </row>
    <row r="4" spans="1:5" s="385" customFormat="1" ht="12.75">
      <c r="A4" s="366" t="s">
        <v>204</v>
      </c>
      <c r="B4" s="367"/>
      <c r="C4" s="367"/>
      <c r="D4" s="367"/>
      <c r="E4" s="368"/>
    </row>
    <row r="5" spans="1:5" s="385" customFormat="1" ht="12.75">
      <c r="A5" s="386" t="s">
        <v>220</v>
      </c>
      <c r="B5" s="367"/>
      <c r="C5" s="367"/>
      <c r="D5" s="367"/>
      <c r="E5" s="368"/>
    </row>
    <row r="6" spans="1:5" ht="12.75">
      <c r="A6" s="360" t="s">
        <v>221</v>
      </c>
      <c r="B6" s="361"/>
      <c r="C6" s="361"/>
      <c r="D6" s="361"/>
      <c r="E6" s="362"/>
    </row>
    <row r="7" spans="1:5" ht="12.75">
      <c r="A7" s="360" t="s">
        <v>205</v>
      </c>
      <c r="B7" s="361"/>
      <c r="C7" s="361"/>
      <c r="D7" s="361"/>
      <c r="E7" s="362"/>
    </row>
    <row r="8" spans="1:5" ht="12.75">
      <c r="A8" s="360" t="s">
        <v>222</v>
      </c>
      <c r="B8" s="361"/>
      <c r="C8" s="361"/>
      <c r="D8" s="361"/>
      <c r="E8" s="362"/>
    </row>
    <row r="9" spans="1:5" ht="12.75">
      <c r="A9" s="370" t="s">
        <v>223</v>
      </c>
      <c r="B9" s="361"/>
      <c r="C9" s="361"/>
      <c r="D9" s="361"/>
      <c r="E9" s="362"/>
    </row>
    <row r="10" spans="1:5" ht="12.75">
      <c r="A10" s="360" t="s">
        <v>224</v>
      </c>
      <c r="B10" s="361"/>
      <c r="C10" s="361"/>
      <c r="D10" s="361"/>
      <c r="E10" s="362"/>
    </row>
    <row r="11" spans="1:5" ht="12.75">
      <c r="A11" s="366" t="s">
        <v>273</v>
      </c>
      <c r="B11" s="361"/>
      <c r="C11" s="361"/>
      <c r="D11" s="361"/>
      <c r="E11" s="362"/>
    </row>
    <row r="12" spans="1:5" ht="12.75">
      <c r="A12" s="360" t="s">
        <v>206</v>
      </c>
      <c r="B12" s="361"/>
      <c r="C12" s="361"/>
      <c r="D12" s="361"/>
      <c r="E12" s="362"/>
    </row>
    <row r="13" spans="1:5" ht="12.75">
      <c r="A13" s="360" t="s">
        <v>207</v>
      </c>
      <c r="B13" s="361"/>
      <c r="C13" s="361"/>
      <c r="D13" s="361"/>
      <c r="E13" s="362"/>
    </row>
    <row r="14" spans="1:5" ht="12.75">
      <c r="A14" s="360" t="s">
        <v>225</v>
      </c>
      <c r="B14" s="361"/>
      <c r="C14" s="361"/>
      <c r="D14" s="361"/>
      <c r="E14" s="362"/>
    </row>
    <row r="15" spans="1:5" ht="12.75">
      <c r="A15" s="360" t="s">
        <v>208</v>
      </c>
      <c r="B15" s="361"/>
      <c r="C15" s="361"/>
      <c r="D15" s="361"/>
      <c r="E15" s="362"/>
    </row>
    <row r="16" spans="1:5" ht="12.75">
      <c r="A16" s="360" t="s">
        <v>209</v>
      </c>
      <c r="B16" s="361"/>
      <c r="C16" s="361"/>
      <c r="D16" s="361"/>
      <c r="E16" s="362"/>
    </row>
    <row r="17" spans="1:5" ht="12.75">
      <c r="A17" s="360" t="s">
        <v>226</v>
      </c>
      <c r="B17" s="361"/>
      <c r="C17" s="361"/>
      <c r="D17" s="361"/>
      <c r="E17" s="362"/>
    </row>
    <row r="18" spans="1:5" ht="13.5" thickBot="1">
      <c r="A18" s="371"/>
      <c r="B18" s="372"/>
      <c r="C18" s="372"/>
      <c r="D18" s="372"/>
      <c r="E18" s="373"/>
    </row>
    <row r="19" spans="1:5" ht="13.5" thickTop="1">
      <c r="A19" s="374" t="s">
        <v>210</v>
      </c>
      <c r="B19" s="375" t="s">
        <v>211</v>
      </c>
      <c r="C19" s="376"/>
      <c r="D19" s="375" t="s">
        <v>212</v>
      </c>
      <c r="E19" s="377"/>
    </row>
    <row r="20" spans="1:5" ht="12.75">
      <c r="A20" s="378" t="s">
        <v>213</v>
      </c>
      <c r="B20" s="379">
        <v>84</v>
      </c>
      <c r="C20" s="387"/>
      <c r="D20" s="388"/>
      <c r="E20" s="389"/>
    </row>
    <row r="21" spans="1:5" ht="13.5" thickBot="1">
      <c r="A21" s="380" t="s">
        <v>215</v>
      </c>
      <c r="B21" s="379">
        <v>3</v>
      </c>
      <c r="C21" s="387"/>
      <c r="D21" s="388" t="s">
        <v>227</v>
      </c>
      <c r="E21" s="389"/>
    </row>
    <row r="22" spans="1:6" ht="12.75">
      <c r="A22" s="380" t="s">
        <v>214</v>
      </c>
      <c r="B22" s="379">
        <v>6</v>
      </c>
      <c r="C22" s="387"/>
      <c r="D22" s="390">
        <f>IF(CHIDIST(D$35,D$36)&lt;0.001,"",CHIDIST(D$35,D$36))</f>
        <v>0.8769723952326334</v>
      </c>
      <c r="E22" s="389"/>
      <c r="F22" s="360"/>
    </row>
    <row r="23" spans="1:6" ht="13.5" thickBot="1">
      <c r="A23" s="391" t="s">
        <v>228</v>
      </c>
      <c r="B23" s="392">
        <f>MIN(B21,B22)</f>
        <v>3</v>
      </c>
      <c r="C23" s="393"/>
      <c r="D23" s="394">
        <f>IF(CHIDIST(D$35,D$36)&lt;0.001,CHIDIST(D$35,D$36),"")</f>
      </c>
      <c r="E23" s="612" t="str">
        <f>IF(CHIDIST(D$35,D$36)&lt;0.901,"( &lt;0,001)","")</f>
        <v>( &lt;0,001)</v>
      </c>
      <c r="F23" s="360"/>
    </row>
    <row r="24" spans="1:6" ht="12.75">
      <c r="A24" s="381" t="str">
        <f>IF(AND(B20&gt;B21*B22-1,B21&gt;1.5,B22&gt;1.5)," ","ERROR: At least 2 rows and 2 columns are required !")</f>
        <v> </v>
      </c>
      <c r="B24" s="361"/>
      <c r="C24" s="395"/>
      <c r="D24" s="361"/>
      <c r="E24" s="362"/>
      <c r="F24" s="360"/>
    </row>
    <row r="25" spans="1:5" ht="12.75">
      <c r="A25" s="374" t="s">
        <v>216</v>
      </c>
      <c r="B25" s="361"/>
      <c r="C25" s="395"/>
      <c r="D25" s="361"/>
      <c r="E25" s="362"/>
    </row>
    <row r="26" spans="1:5" ht="12.75">
      <c r="A26" s="366" t="s">
        <v>217</v>
      </c>
      <c r="B26" s="361"/>
      <c r="C26" s="395"/>
      <c r="D26" s="361"/>
      <c r="E26" s="362"/>
    </row>
    <row r="27" spans="1:5" ht="13.5" thickBot="1">
      <c r="A27" s="369" t="s">
        <v>229</v>
      </c>
      <c r="B27" s="361"/>
      <c r="C27" s="395"/>
      <c r="D27" s="361"/>
      <c r="E27" s="362"/>
    </row>
    <row r="28" spans="1:5" ht="12.75">
      <c r="A28" s="378" t="s">
        <v>230</v>
      </c>
      <c r="B28" s="382"/>
      <c r="C28" s="396">
        <f>B20*B28*B28</f>
        <v>0</v>
      </c>
      <c r="D28" s="397">
        <f>SQRT(D29)</f>
        <v>0.2489591174054492</v>
      </c>
      <c r="E28" s="398" t="str">
        <f>IF(D28*D28&gt;B23-1,"Input error !!)","  ")</f>
        <v>  </v>
      </c>
    </row>
    <row r="29" spans="1:5" ht="12.75">
      <c r="A29" s="378" t="s">
        <v>231</v>
      </c>
      <c r="B29" s="382"/>
      <c r="C29" s="396">
        <f>B20*B29</f>
        <v>0</v>
      </c>
      <c r="D29" s="399">
        <f>D37/B20</f>
        <v>0.06198064213930025</v>
      </c>
      <c r="E29" s="398" t="str">
        <f>IF(D29&gt;B23-1,"Input error !!)","  ")</f>
        <v>  </v>
      </c>
    </row>
    <row r="30" spans="1:5" ht="13.5" thickBot="1">
      <c r="A30" s="378" t="s">
        <v>218</v>
      </c>
      <c r="B30" s="382"/>
      <c r="C30" s="396">
        <f>B20*B30*B30/(1+B30*B30)</f>
        <v>0</v>
      </c>
      <c r="D30" s="400">
        <f>SQRT(D37/(D37+B20))</f>
        <v>0.2415848720471643</v>
      </c>
      <c r="E30" s="398" t="str">
        <f>IF(D30&gt;1,"Input error !!)","  ")</f>
        <v>  </v>
      </c>
    </row>
    <row r="31" spans="1:5" ht="14.25" thickBot="1" thickTop="1">
      <c r="A31" s="378" t="s">
        <v>219</v>
      </c>
      <c r="B31" s="382"/>
      <c r="C31" s="396">
        <f>B20*B31*B31*(B23-1)</f>
        <v>0</v>
      </c>
      <c r="D31" s="401">
        <f>SQRT(D32)</f>
        <v>0.17604068015561097</v>
      </c>
      <c r="E31" s="398" t="str">
        <f>IF(D31&gt;1,"Input error !!)","  ")</f>
        <v>  </v>
      </c>
    </row>
    <row r="32" spans="1:5" ht="13.5" thickTop="1">
      <c r="A32" s="378" t="s">
        <v>232</v>
      </c>
      <c r="B32" s="382"/>
      <c r="C32" s="396">
        <f>B32*B20*(B23-1)</f>
        <v>0</v>
      </c>
      <c r="D32" s="402">
        <f>D29/(B23-1)</f>
        <v>0.030990321069650124</v>
      </c>
      <c r="E32" s="398" t="str">
        <f>IF(D32&gt;1,"Input error !!)","  ")</f>
        <v>  </v>
      </c>
    </row>
    <row r="33" spans="1:5" ht="12.75">
      <c r="A33" s="378" t="s">
        <v>233</v>
      </c>
      <c r="B33" s="382">
        <v>0.14</v>
      </c>
      <c r="C33" s="396">
        <f>B20*B33*B33*(SQRT(D36))</f>
        <v>5.206373939701221</v>
      </c>
      <c r="D33" s="399">
        <f>SQRT(D34)</f>
        <v>0.14</v>
      </c>
      <c r="E33" s="398" t="str">
        <f>IF(D33*D33&gt;(B23-1)/(SQRT(D36)),"Input error !!)","  ")</f>
        <v>  </v>
      </c>
    </row>
    <row r="34" spans="1:5" ht="12.75">
      <c r="A34" s="378" t="s">
        <v>234</v>
      </c>
      <c r="B34" s="382"/>
      <c r="C34" s="396">
        <f>B34*B20*(SQRT(D36))</f>
        <v>0</v>
      </c>
      <c r="D34" s="399">
        <f>D29/(SQRT(D36))</f>
        <v>0.019600000000000003</v>
      </c>
      <c r="E34" s="398" t="str">
        <f>IF(D34&gt;(B23-1)/(SQRT(D36)),"Input error !!)","  ")</f>
        <v>  </v>
      </c>
    </row>
    <row r="35" spans="1:5" ht="12.75">
      <c r="A35" s="378" t="s">
        <v>235</v>
      </c>
      <c r="B35" s="382"/>
      <c r="C35" s="396">
        <f>B35</f>
        <v>0</v>
      </c>
      <c r="D35" s="399">
        <f>D37</f>
        <v>5.206373939701221</v>
      </c>
      <c r="E35" s="398" t="str">
        <f>IF(D35&gt;B20*B23,"Input error !!)","  ")</f>
        <v>  </v>
      </c>
    </row>
    <row r="36" spans="1:5" ht="13.5" thickBot="1">
      <c r="A36" s="384" t="s">
        <v>236</v>
      </c>
      <c r="B36" s="403"/>
      <c r="C36" s="403"/>
      <c r="D36" s="404">
        <f>(B21-1)*(B22-1)</f>
        <v>10</v>
      </c>
      <c r="E36" s="383"/>
    </row>
    <row r="37" spans="1:5" ht="13.5" thickBot="1">
      <c r="A37" s="360" t="s">
        <v>237</v>
      </c>
      <c r="B37" s="405"/>
      <c r="D37" s="406">
        <f>MAX(C28:C35)</f>
        <v>5.206373939701221</v>
      </c>
      <c r="E37" s="383"/>
    </row>
    <row r="38" spans="1:5" ht="14.25" thickBot="1" thickTop="1">
      <c r="A38" s="407" t="s">
        <v>238</v>
      </c>
      <c r="B38" s="408" t="str">
        <f>IF(MIN(B28:B35)&lt;0,"INPUT ERROR (negative statistics) !!"," ")</f>
        <v> </v>
      </c>
      <c r="C38" s="409"/>
      <c r="D38" s="409"/>
      <c r="E38" s="410"/>
    </row>
    <row r="39" ht="13.5" thickTop="1"/>
  </sheetData>
  <sheetProtection password="C55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----</Manager>
  <Company>FSW -EUR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WDH ToolkitNOM</dc:title>
  <dc:subject/>
  <dc:creator>W.M. Kalmijn</dc:creator>
  <cp:keywords>Happiness, correlates, nominal level,</cp:keywords>
  <dc:description/>
  <cp:lastModifiedBy>S.S. Blokzijl-Chin Hon Foei</cp:lastModifiedBy>
  <cp:lastPrinted>2008-03-06T14:08:37Z</cp:lastPrinted>
  <dcterms:created xsi:type="dcterms:W3CDTF">2000-10-10T19:11:38Z</dcterms:created>
  <dcterms:modified xsi:type="dcterms:W3CDTF">2013-10-15T12:32:34Z</dcterms:modified>
  <cp:category>Statistics for correlational findings</cp:category>
  <cp:version/>
  <cp:contentType/>
  <cp:contentStatus/>
</cp:coreProperties>
</file>