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810" windowWidth="6540" windowHeight="5010" tabRatio="689" activeTab="0"/>
  </bookViews>
  <sheets>
    <sheet name="Excerpt WDH" sheetId="1" r:id="rId1"/>
    <sheet name="Intro" sheetId="2" r:id="rId2"/>
    <sheet name="Abs Freq" sheetId="3" r:id="rId3"/>
    <sheet name="Perc. Freq" sheetId="4" r:id="rId4"/>
    <sheet name="Transfm" sheetId="5" r:id="rId5"/>
    <sheet name="Double dichotomy" sheetId="6" r:id="rId6"/>
  </sheets>
  <definedNames>
    <definedName name="_Regression_Int" localSheetId="2" hidden="1">1</definedName>
    <definedName name="extens" localSheetId="5">'Double dichotomy'!$D$192</definedName>
    <definedName name="intro" localSheetId="5">'Double dichotomy'!$D$78</definedName>
    <definedName name="intuit" localSheetId="5">'Double dichotomy'!$D$108</definedName>
    <definedName name="logodds" localSheetId="5">'Double dichotomy'!$D$138</definedName>
    <definedName name="_xlnm.Print_Area" localSheetId="2">'Abs Freq'!$A$1:$I$55</definedName>
    <definedName name="_xlnm.Print_Area" localSheetId="5">'Double dichotomy'!$A$1:$D$58</definedName>
    <definedName name="_xlnm.Print_Area" localSheetId="0">'Excerpt WDH'!$A$1:$J$84</definedName>
    <definedName name="_xlnm.Print_Area" localSheetId="3">'Perc. Freq'!$A$1:$I$67</definedName>
    <definedName name="_xlnm.Print_Area" localSheetId="4">'Transfm'!$A$1:$H$61</definedName>
    <definedName name="proco" localSheetId="5">'Double dichotomy'!$D$168</definedName>
    <definedName name="refer" localSheetId="5">'Double dichotomy'!$D$221</definedName>
    <definedName name="top" localSheetId="5">'Double dichotomy'!$B$61</definedName>
    <definedName name="yule" localSheetId="5">'Double dichotomy'!$D$126</definedName>
    <definedName name="Z_2749C4E0_9C8F_11D5_BDFF_00AA0035DD5E_.wvu.PrintArea" localSheetId="2" hidden="1">'Abs Freq'!$A$6:$I$204</definedName>
  </definedNames>
  <calcPr fullCalcOnLoad="1"/>
</workbook>
</file>

<file path=xl/sharedStrings.xml><?xml version="1.0" encoding="utf-8"?>
<sst xmlns="http://schemas.openxmlformats.org/spreadsheetml/2006/main" count="640" uniqueCount="327">
  <si>
    <t>score</t>
  </si>
  <si>
    <t>W.M. Kalmijn</t>
  </si>
  <si>
    <t>INPUT</t>
  </si>
  <si>
    <t>Untransformed</t>
  </si>
  <si>
    <t>scores</t>
  </si>
  <si>
    <t>Transformed</t>
  </si>
  <si>
    <t xml:space="preserve">Average value =   </t>
  </si>
  <si>
    <t xml:space="preserve">       Such errors make the output unreliable.</t>
  </si>
  <si>
    <t xml:space="preserve">  Untransformed scores</t>
  </si>
  <si>
    <t xml:space="preserve">   Transformed scores</t>
  </si>
  <si>
    <t xml:space="preserve">    SHEET 1    INPUT:  ABSOLUTE  FREQUENCIES.</t>
  </si>
  <si>
    <t xml:space="preserve">      Although  happiness scores are essentially measurements at the ordinal level,</t>
  </si>
  <si>
    <t xml:space="preserve">       the transformed scores.  However, for the variance and the standard deviation</t>
  </si>
  <si>
    <t xml:space="preserve">       similar statements do not necessarily hold.</t>
  </si>
  <si>
    <t>For further information see sheet nr. 1 (FREQUENCIES)</t>
  </si>
  <si>
    <t>SUM</t>
  </si>
  <si>
    <t>CALCULATIONS:</t>
  </si>
  <si>
    <t>original</t>
  </si>
  <si>
    <t>scale</t>
  </si>
  <si>
    <t>Absolute</t>
  </si>
  <si>
    <t>frequencies</t>
  </si>
  <si>
    <t>transformed</t>
  </si>
  <si>
    <t xml:space="preserve">       and the maximum possible happiness level respectively.</t>
  </si>
  <si>
    <t xml:space="preserve">       transformation onto a [0;10] scale, where  0 en 10 correspond with the minimum </t>
  </si>
  <si>
    <t>FEATURES  OF  THIS  PROGRAMME:</t>
  </si>
  <si>
    <t>MESSAGES:</t>
  </si>
  <si>
    <t xml:space="preserve">     HAPPINESS</t>
  </si>
  <si>
    <t xml:space="preserve">Variance  =   </t>
  </si>
  <si>
    <t xml:space="preserve">Standard deviation  =   </t>
  </si>
  <si>
    <t xml:space="preserve">       (expressed as percentages) and - by preference also - the total number of </t>
  </si>
  <si>
    <t xml:space="preserve">Lower 95 % confidence limit for the mean =   </t>
  </si>
  <si>
    <t xml:space="preserve">Upper 95 % confidence limit for the mean =   </t>
  </si>
  <si>
    <t>Contr. to SS</t>
  </si>
  <si>
    <t>Contr. to Sum</t>
  </si>
  <si>
    <t xml:space="preserve">      The ouput includes the average value, the variance and and the standard deviation</t>
  </si>
  <si>
    <t xml:space="preserve">       The transformed value of the average score is equal to the average value of the</t>
  </si>
  <si>
    <t>reversed</t>
  </si>
  <si>
    <t>Features of this part of the programme:</t>
  </si>
  <si>
    <t xml:space="preserve">       parameter estimates)  to the corresponding values on a [0;10] score scale, </t>
  </si>
  <si>
    <t xml:space="preserve"> in the appropriate yellow cells below:</t>
  </si>
  <si>
    <t>C. to  Sum</t>
  </si>
  <si>
    <t>df</t>
  </si>
  <si>
    <t>THE END</t>
  </si>
  <si>
    <t>Number of scale points on the scale :</t>
  </si>
  <si>
    <t>REVERSE SCALE ?</t>
  </si>
  <si>
    <t xml:space="preserve">STATISTICS </t>
  </si>
  <si>
    <t xml:space="preserve">        and high scores for 'unhappy', the programme will revert the scale automatically.</t>
  </si>
  <si>
    <t xml:space="preserve">        I.e. the highest and the lowest possible scores of the scale are mutually interchanged.</t>
  </si>
  <si>
    <t xml:space="preserve">       original or the reversed scale.</t>
  </si>
  <si>
    <t xml:space="preserve">       including the reversion option.</t>
  </si>
  <si>
    <t xml:space="preserve">        It is necessary to indicate this need at the input stage (Reversion N/Y  = 0/1).</t>
  </si>
  <si>
    <t>(Distribution parameter estimates):</t>
  </si>
  <si>
    <t>( NO = 0; YES = 1)</t>
  </si>
  <si>
    <t>DK/NA</t>
  </si>
  <si>
    <t xml:space="preserve">     ("don't know"/"no answer")</t>
  </si>
  <si>
    <t xml:space="preserve">               Percentage (rounded)</t>
  </si>
  <si>
    <t xml:space="preserve">  VALID CASES ONLY !</t>
  </si>
  <si>
    <t>Sum of entered  ' valid'  absolute frequencies:</t>
  </si>
  <si>
    <t>% DK/NA</t>
  </si>
  <si>
    <t xml:space="preserve">Check: sum of all valid percentages:  </t>
  </si>
  <si>
    <t>GROUP 1</t>
  </si>
  <si>
    <t>GROUP 2</t>
  </si>
  <si>
    <t>n1 = Sum of entered absolute frequencies (incl. DK/NA):</t>
  </si>
  <si>
    <t>n2 = Sum of entered absolute frequencies (incl. DK/NA):</t>
  </si>
  <si>
    <t>(after transformation onto a [0;10] scale)</t>
  </si>
  <si>
    <t>Lower 95 % confidence limit</t>
  </si>
  <si>
    <t>Upper 95 % confidence limit</t>
  </si>
  <si>
    <t>P2- value</t>
  </si>
  <si>
    <t>Difference:</t>
  </si>
  <si>
    <t xml:space="preserve">      THE END</t>
  </si>
  <si>
    <t xml:space="preserve">         GROUP nr. 1.</t>
  </si>
  <si>
    <t xml:space="preserve">        GROUP nr. 2.</t>
  </si>
  <si>
    <t xml:space="preserve">          GROUP nr. 1.</t>
  </si>
  <si>
    <t xml:space="preserve">      For the true but unknown value of this difference,  95 % confidence limits are computed.</t>
  </si>
  <si>
    <t xml:space="preserve">             DIFFERENCE OF MEANS IN CASE OF DICHOTOMOUS CORRELATES.</t>
  </si>
  <si>
    <t xml:space="preserve">      as (estimates of the) parameters of the distribution in both groups separately.</t>
  </si>
  <si>
    <t>GROUP</t>
  </si>
  <si>
    <t>(1 minus 2)</t>
  </si>
  <si>
    <t>Group difference DMt</t>
  </si>
  <si>
    <t xml:space="preserve">      this programme treats those scores as metric ones (cardinality assumption)..</t>
  </si>
  <si>
    <t xml:space="preserve">       provided  the values of their n and  the standard deviation are available/computable.</t>
  </si>
  <si>
    <t>transf'd</t>
  </si>
  <si>
    <t>STATISTICS  DIFFERENCE</t>
  </si>
  <si>
    <t xml:space="preserve"> Do the group statistics refer to untransformed or to transformed scores ?</t>
  </si>
  <si>
    <t>(Untransformed scores =0, transformed scores = 1)</t>
  </si>
  <si>
    <t>Effective sample size</t>
  </si>
  <si>
    <t>After transformation</t>
  </si>
  <si>
    <t>GROUP  nr.</t>
  </si>
  <si>
    <t xml:space="preserve">GROUP  nr. </t>
  </si>
  <si>
    <t>Group means  (Mt)</t>
  </si>
  <si>
    <t>ignoring DK/NA-responses</t>
  </si>
  <si>
    <t xml:space="preserve">       This also holds for the Difference of Means DMt.</t>
  </si>
  <si>
    <t xml:space="preserve"> SUM</t>
  </si>
  <si>
    <t>CALCULATION</t>
  </si>
  <si>
    <t>female</t>
  </si>
  <si>
    <t>male</t>
  </si>
  <si>
    <t>happy</t>
  </si>
  <si>
    <t>unhappy</t>
  </si>
  <si>
    <t xml:space="preserve">             CORRELATE VALUES</t>
  </si>
  <si>
    <t xml:space="preserve">Average value  =   </t>
  </si>
  <si>
    <t xml:space="preserve">Standard error of the average value  =   </t>
  </si>
  <si>
    <t xml:space="preserve">Lower 95 % confidence limit for mean </t>
  </si>
  <si>
    <t>Pooled standard deviation</t>
  </si>
  <si>
    <t xml:space="preserve">          =</t>
  </si>
  <si>
    <t>After transformation:</t>
  </si>
  <si>
    <t xml:space="preserve">             Pooled standard deviation =</t>
  </si>
  <si>
    <t>Overall mean</t>
  </si>
  <si>
    <t>SSX</t>
  </si>
  <si>
    <t>SSE</t>
  </si>
  <si>
    <t>SST</t>
  </si>
  <si>
    <t xml:space="preserve">         Standard error of the difference of means =</t>
  </si>
  <si>
    <t>Calculation of  E-square statistic:</t>
  </si>
  <si>
    <t>E-square statistic (correlation ratio)</t>
  </si>
  <si>
    <t>UNPROTECTED AREA FOR MAKING CALCULATIONS</t>
  </si>
  <si>
    <t>gH = Hedges effect size statistic g</t>
  </si>
  <si>
    <t>Added spreadsheet  for findings  type</t>
  </si>
  <si>
    <t>File name (study code):</t>
  </si>
  <si>
    <t xml:space="preserve">Number of subjects studied </t>
  </si>
  <si>
    <t>1 = absolute frequencies only</t>
  </si>
  <si>
    <t>A</t>
  </si>
  <si>
    <t>B</t>
  </si>
  <si>
    <t>INPUT  AS   AVERAGE  HAPPINESS SCORE AND STANDARD DEVIATION PER "CLASS":</t>
  </si>
  <si>
    <t xml:space="preserve">Absolute frequency  </t>
  </si>
  <si>
    <t xml:space="preserve">of happiness        </t>
  </si>
  <si>
    <t>Sample size GROUP nr. 1 (A).</t>
  </si>
  <si>
    <t>Sample size GROUP nr. 2 (B).</t>
  </si>
  <si>
    <t>Correlate (independent) variable:</t>
  </si>
  <si>
    <t xml:space="preserve">        FREQUENCIES</t>
  </si>
  <si>
    <t>GROUP 1 (A)</t>
  </si>
  <si>
    <t>GROUP 2 (B)</t>
  </si>
  <si>
    <t>INPUT AS  OBSERVED FREQUENCIES:</t>
  </si>
  <si>
    <t xml:space="preserve"> (NO = 0; YES = 1)</t>
  </si>
  <si>
    <t xml:space="preserve">               Total number of observations</t>
  </si>
  <si>
    <t xml:space="preserve"> - incl. DK/NA  </t>
  </si>
  <si>
    <t xml:space="preserve"> - DK/NA         </t>
  </si>
  <si>
    <t xml:space="preserve">Average value         </t>
  </si>
  <si>
    <t xml:space="preserve">  Standard deviation   </t>
  </si>
  <si>
    <t xml:space="preserve">including   </t>
  </si>
  <si>
    <t xml:space="preserve">        Please insert the frequencies</t>
  </si>
  <si>
    <t>SHEET 2    INPUT:  RELATIVE  FREQUENCIES (as percentages).</t>
  </si>
  <si>
    <t xml:space="preserve">Percentage DK/NA =  </t>
  </si>
  <si>
    <t xml:space="preserve">%  DK/NA   </t>
  </si>
  <si>
    <t>(A minus B)</t>
  </si>
  <si>
    <t>Group A(1)</t>
  </si>
  <si>
    <t>Group B(2)</t>
  </si>
  <si>
    <t>A(1)</t>
  </si>
  <si>
    <t>B(2)</t>
  </si>
  <si>
    <t>"Happiness" scale:</t>
  </si>
  <si>
    <t>A (1)</t>
  </si>
  <si>
    <t>B (2)</t>
  </si>
  <si>
    <t xml:space="preserve">      Moreover, the P2-value for the vale of the difference  is calculated; this value is reported</t>
  </si>
  <si>
    <t xml:space="preserve">      using both the "normal" and the "scientific" format, e.g. 6,89E-03 means 0,00689.</t>
  </si>
  <si>
    <t xml:space="preserve">      correlation ratio, which is the fraction of the total variability in the data for which the contribution</t>
  </si>
  <si>
    <t xml:space="preserve">      of the correlate is accountable.</t>
  </si>
  <si>
    <t xml:space="preserve">      Depending on the nature of the input data ( absolute frequencies, percentages or a combination</t>
  </si>
  <si>
    <t xml:space="preserve">      In case happiness is measured as a dichotomy,  the "Double dichotomy" is the appropriate</t>
  </si>
  <si>
    <t xml:space="preserve">      worksheet for the analysis of the data.</t>
  </si>
  <si>
    <t xml:space="preserve">       observations (N)  as input.</t>
  </si>
  <si>
    <t>2.   The "Excerpt WDH" worksheet has been designed for the input of the data in the publication.</t>
  </si>
  <si>
    <t>3.   The "Abs Freq" worksheet of the programme uses the absolute frequencies as input data.</t>
  </si>
  <si>
    <t xml:space="preserve">       For both mean scores,  lower and upper 95 % confidence limits are computed,</t>
  </si>
  <si>
    <t xml:space="preserve">       The programme gives the distribution of the scores in percentages on either the </t>
  </si>
  <si>
    <t xml:space="preserve">       Unreliability is also indicated in worksheets that do not  concern the type of data specified</t>
  </si>
  <si>
    <t xml:space="preserve">       in the "Excerpt WDH" worksheet.</t>
  </si>
  <si>
    <t>1.   For both levels of the correlate ( groups), this programme computes the mean and the standard</t>
  </si>
  <si>
    <t xml:space="preserve">      deviation of the distributions of the happiness scores on the basis of all valid scores,</t>
  </si>
  <si>
    <t xml:space="preserve">      of  average value, standard deviation and sample size), different output sheets are available.</t>
  </si>
  <si>
    <t xml:space="preserve">      The "Perc.Freq" worksheet produces a similar output on the basis of relative frequencies</t>
  </si>
  <si>
    <t xml:space="preserve">Degrees of freedom </t>
  </si>
  <si>
    <t>Two-sided t-value of DMt</t>
  </si>
  <si>
    <t xml:space="preserve">n1 =  </t>
  </si>
  <si>
    <t xml:space="preserve">n2 =  </t>
  </si>
  <si>
    <t xml:space="preserve">N  =  </t>
  </si>
  <si>
    <t xml:space="preserve">      Standard error estimate = </t>
  </si>
  <si>
    <t xml:space="preserve">Correlate level code  </t>
  </si>
  <si>
    <t xml:space="preserve">Average value  </t>
  </si>
  <si>
    <t xml:space="preserve">  Standard deviation of happiness  </t>
  </si>
  <si>
    <t>POOLING TWO GROUPS:</t>
  </si>
  <si>
    <t xml:space="preserve"> or  </t>
  </si>
  <si>
    <t>Pooled</t>
  </si>
  <si>
    <t xml:space="preserve"> -  ignoring DK/NA   </t>
  </si>
  <si>
    <t xml:space="preserve"> -  DK/NA   </t>
  </si>
  <si>
    <t>Cross-product ratio:</t>
  </si>
  <si>
    <t xml:space="preserve">or its reciprocal value </t>
  </si>
  <si>
    <t>SS</t>
  </si>
  <si>
    <t>appendix  A:</t>
  </si>
  <si>
    <t>appendix  B:</t>
  </si>
  <si>
    <t>Hedges's  g</t>
  </si>
  <si>
    <t>Cohen's    d</t>
  </si>
  <si>
    <t>CONVERSION  Cohen's d &lt;-&gt;  Hedges's g:</t>
  </si>
  <si>
    <t>4.</t>
  </si>
  <si>
    <t>Appendix 2 enables one to convert Cohen's d into Hedges's g vice versa.</t>
  </si>
  <si>
    <t xml:space="preserve">       Appendix 2 of this sheet enables one to convert Cohen's d into Hedges's g vice versa.</t>
  </si>
  <si>
    <t xml:space="preserve">Abs.difference |O-E| = </t>
  </si>
  <si>
    <t>(on the basis of the untransformed data)</t>
  </si>
  <si>
    <t xml:space="preserve">Group means (M) </t>
  </si>
  <si>
    <t>Two-sided t-value of DM</t>
  </si>
  <si>
    <t>Group difference DM</t>
  </si>
  <si>
    <t xml:space="preserve"> (untransformed)</t>
  </si>
  <si>
    <t xml:space="preserve"> (transformed)</t>
  </si>
  <si>
    <t xml:space="preserve">Transformed Group means (Mt) </t>
  </si>
  <si>
    <t xml:space="preserve"> Happiness:  (pseudo-)metric</t>
  </si>
  <si>
    <t xml:space="preserve">   Number of possible ratings (max.12)</t>
  </si>
  <si>
    <t>(Type of input data code either1 or 4)</t>
  </si>
  <si>
    <t>Transformed scores</t>
  </si>
  <si>
    <t>Contr.to SS</t>
  </si>
  <si>
    <t xml:space="preserve">       gH = Hedges's effect size statistic g  </t>
  </si>
  <si>
    <t xml:space="preserve">       E-square statistic (correlation ratio)   </t>
  </si>
  <si>
    <t xml:space="preserve"> GROUP  STATISTICS    untransformed</t>
  </si>
  <si>
    <r>
      <t>P2-value (H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: EDMt=0) </t>
    </r>
  </si>
  <si>
    <r>
      <t>P2-value (H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: EDM=0) </t>
    </r>
  </si>
  <si>
    <t>This P2-value  is reported in the so-called scientific or E-format for P2&lt;0,005,</t>
  </si>
  <si>
    <t>otherwise, the value is reported using the 'usual' decimal notation.</t>
  </si>
  <si>
    <t xml:space="preserve">there is no intrinsic difference between the two subgroups. </t>
  </si>
  <si>
    <t>For the true but unknown mean difference after transformation the programme</t>
  </si>
  <si>
    <t>computes 95 % confidence limits  and the P2-value for the null hypothesis that</t>
  </si>
  <si>
    <t>distribution mean can be computed.</t>
  </si>
  <si>
    <t>Group 1  Mt1</t>
  </si>
  <si>
    <t>Group 2  Mt2</t>
  </si>
  <si>
    <t>1.    This sheet of the programme allows to transform estimates of the distribution</t>
  </si>
  <si>
    <t xml:space="preserve">        parameters of two subgroups to their difference  on a [0;10] score scale.</t>
  </si>
  <si>
    <t>2.     The program allows to reverse the scale of measurement, if necessary.</t>
  </si>
  <si>
    <t xml:space="preserve">3.     Only if both N and s are known and entered, confidence limits for the </t>
  </si>
  <si>
    <t>MEANS AND STANDARD DEVIATIONS OF HAPPINESS SCORE DISTRIBUTIONS.</t>
  </si>
  <si>
    <t>Lowest possible rating(0 or1)</t>
  </si>
  <si>
    <t>Highest possible  rating (max.12)</t>
  </si>
  <si>
    <t>Lowest possible rating</t>
  </si>
  <si>
    <t>Highest possible rating</t>
  </si>
  <si>
    <t xml:space="preserve">   Highest possible rating</t>
  </si>
  <si>
    <t xml:space="preserve">   Lowest possible ratting (0 or 1)</t>
  </si>
  <si>
    <t>HAPPINESS RATING</t>
  </si>
  <si>
    <t>UNHAPPY</t>
  </si>
  <si>
    <t>RATINGS DISTRIBUTION:</t>
  </si>
  <si>
    <t>rating</t>
  </si>
  <si>
    <t>Rating on</t>
  </si>
  <si>
    <t xml:space="preserve">Rating on </t>
  </si>
  <si>
    <t>Study code</t>
  </si>
  <si>
    <t>Rating</t>
  </si>
  <si>
    <t>Percentage (rounded)</t>
  </si>
  <si>
    <t xml:space="preserve"> Percentage (rounded)</t>
  </si>
  <si>
    <t>Year</t>
  </si>
  <si>
    <t>Name code (≤5-digit)</t>
  </si>
  <si>
    <t xml:space="preserve">n= </t>
  </si>
  <si>
    <t xml:space="preserve"> DIFFERENCE OF MEANS IN CASE OF DICHOTOMOUS CORRELATES.</t>
  </si>
  <si>
    <t xml:space="preserve">W.M. Kalmijn  </t>
  </si>
  <si>
    <t>COMPUTING DIFFERENCE OF MEANS FROM GROUP STATISTICS.</t>
  </si>
  <si>
    <t>DIFFERENCE OF MEANS IN CASE OF DICHOTOMOUS CORRELATES.</t>
  </si>
  <si>
    <t xml:space="preserve">4 = percentages                     </t>
  </si>
  <si>
    <t xml:space="preserve">9 = input as average value     </t>
  </si>
  <si>
    <t xml:space="preserve">and standard deviation     </t>
  </si>
  <si>
    <t xml:space="preserve">Type  input data  </t>
  </si>
  <si>
    <t xml:space="preserve">Correlate:  dichotomous     </t>
  </si>
  <si>
    <t xml:space="preserve">Average happiness score             Mt </t>
  </si>
  <si>
    <t xml:space="preserve">Standard error of Mt </t>
  </si>
  <si>
    <t xml:space="preserve">Upper 95 % confidence limit for mean </t>
  </si>
  <si>
    <t xml:space="preserve">Standard deviation      SDt </t>
  </si>
  <si>
    <t>Mean happiness score  (M)</t>
  </si>
  <si>
    <t>Standard deviation        (SD)</t>
  </si>
  <si>
    <t xml:space="preserve">      Finally the programme computes Hedges's effect size g statistic and the value of the</t>
  </si>
  <si>
    <t xml:space="preserve">      of two groups, provided that for both groups the same scale of meaurement has been used.</t>
  </si>
  <si>
    <t xml:space="preserve">      ignoring  DK/NA (Don't know/Not Available), both before and after linear transformation onto a</t>
  </si>
  <si>
    <t xml:space="preserve">      [0,10] scale In addition to that, the programme computes the difference between the averages</t>
  </si>
  <si>
    <t>("control")</t>
  </si>
  <si>
    <t>("treatment")</t>
  </si>
  <si>
    <t>[in case of an experiment]</t>
  </si>
  <si>
    <t>"Risk"</t>
  </si>
  <si>
    <t xml:space="preserve">which is the inverse (reciprocal value) of </t>
  </si>
  <si>
    <t xml:space="preserve">CORRELATE: </t>
  </si>
  <si>
    <t xml:space="preserve"> (male) sex</t>
  </si>
  <si>
    <t>RESPONSE:</t>
  </si>
  <si>
    <t>Lower 95% CL</t>
  </si>
  <si>
    <t>Upper 95% CL</t>
  </si>
  <si>
    <t>RR-value</t>
  </si>
  <si>
    <t>2007-08-15</t>
  </si>
  <si>
    <t xml:space="preserve">(sum of each column = 100 %)   </t>
  </si>
  <si>
    <t>P1-value  (χ²)</t>
  </si>
  <si>
    <t xml:space="preserve">Computed χ²- value </t>
  </si>
  <si>
    <t xml:space="preserve"> after Yates' correction</t>
  </si>
  <si>
    <r>
      <t>ABS(DET)-</t>
    </r>
    <r>
      <rPr>
        <sz val="10"/>
        <rFont val="Verdana"/>
        <family val="2"/>
      </rPr>
      <t>½</t>
    </r>
    <r>
      <rPr>
        <sz val="10"/>
        <rFont val="Arial Narrow"/>
        <family val="2"/>
      </rPr>
      <t>TOTAL =</t>
    </r>
  </si>
  <si>
    <t>Auxiliary variables:</t>
  </si>
  <si>
    <t>wmk/2007-08-16</t>
  </si>
  <si>
    <t>CHI-SQUARE</t>
  </si>
  <si>
    <t xml:space="preserve">Association (+/–):  </t>
  </si>
  <si>
    <t xml:space="preserve">                                      ANALYSIS of a  2 x 2 - TABLE:</t>
  </si>
  <si>
    <t>OBSERVED
 FREQUENCIES</t>
  </si>
  <si>
    <t>EXPECTED
FREQUENCIES</t>
  </si>
  <si>
    <t>"Relative
Risk" (RR)</t>
  </si>
  <si>
    <r>
      <t>P2-value |</t>
    </r>
    <r>
      <rPr>
        <sz val="10.5"/>
        <rFont val="Arial"/>
        <family val="2"/>
      </rPr>
      <t xml:space="preserve"> H</t>
    </r>
    <r>
      <rPr>
        <vertAlign val="subscript"/>
        <sz val="8"/>
        <rFont val="Arial"/>
        <family val="2"/>
      </rPr>
      <t>o</t>
    </r>
    <r>
      <rPr>
        <sz val="10.5"/>
        <rFont val="Arial"/>
        <family val="2"/>
      </rPr>
      <t>:</t>
    </r>
    <r>
      <rPr>
        <sz val="10"/>
        <rFont val="Arial"/>
        <family val="2"/>
      </rPr>
      <t xml:space="preserve">  </t>
    </r>
    <r>
      <rPr>
        <i/>
        <sz val="10"/>
        <rFont val="ESSTIXThirteen"/>
        <family val="0"/>
      </rPr>
      <t xml:space="preserve">E </t>
    </r>
    <r>
      <rPr>
        <sz val="10"/>
        <rFont val="Arial"/>
        <family val="2"/>
      </rPr>
      <t xml:space="preserve">(OR) = 1:  </t>
    </r>
  </si>
  <si>
    <t xml:space="preserve"> COMMENTS:</t>
  </si>
  <si>
    <r>
      <t xml:space="preserve">  P2-value |</t>
    </r>
    <r>
      <rPr>
        <sz val="10.5"/>
        <rFont val="Arial"/>
        <family val="2"/>
      </rPr>
      <t xml:space="preserve"> H</t>
    </r>
    <r>
      <rPr>
        <vertAlign val="subscript"/>
        <sz val="8"/>
        <rFont val="Arial"/>
        <family val="2"/>
      </rPr>
      <t>o</t>
    </r>
    <r>
      <rPr>
        <sz val="10.5"/>
        <rFont val="Arial"/>
        <family val="2"/>
      </rPr>
      <t>:</t>
    </r>
    <r>
      <rPr>
        <sz val="10"/>
        <rFont val="Arial"/>
        <family val="2"/>
      </rPr>
      <t xml:space="preserve">  </t>
    </r>
    <r>
      <rPr>
        <i/>
        <sz val="10"/>
        <rFont val="ESSTIXThirteen"/>
        <family val="0"/>
      </rPr>
      <t xml:space="preserve">E </t>
    </r>
    <r>
      <rPr>
        <sz val="10"/>
        <rFont val="Arial"/>
        <family val="2"/>
      </rPr>
      <t xml:space="preserve">(RR) = 1:  </t>
    </r>
  </si>
  <si>
    <t>Odds Ratio</t>
  </si>
  <si>
    <r>
      <t xml:space="preserve"> also referred to as "</t>
    </r>
    <r>
      <rPr>
        <b/>
        <sz val="10"/>
        <rFont val="Arial"/>
        <family val="2"/>
      </rPr>
      <t>Odds Ratio</t>
    </r>
    <r>
      <rPr>
        <sz val="10"/>
        <rFont val="Arial"/>
        <family val="2"/>
      </rPr>
      <t>" (OR)</t>
    </r>
  </si>
  <si>
    <t xml:space="preserve"> 95% confidence limits (CL) for the odds ratio:</t>
  </si>
  <si>
    <t xml:space="preserve"> 95% confidence limits (CL) and P-values for the "relative risk"</t>
  </si>
  <si>
    <t xml:space="preserve">           WORLD  DATABASE  OF HAPPINESS; CORRELATIONAL FINDINGS</t>
  </si>
  <si>
    <t xml:space="preserve">              NUMBER</t>
  </si>
  <si>
    <t>happier</t>
  </si>
  <si>
    <t>group</t>
  </si>
  <si>
    <t>|F1-F2|</t>
  </si>
  <si>
    <t xml:space="preserve">P1-value = </t>
  </si>
  <si>
    <t>CUMULATIVE</t>
  </si>
  <si>
    <t xml:space="preserve">D(KS)=  </t>
  </si>
  <si>
    <t xml:space="preserve">TEST STATISTIC =  </t>
  </si>
  <si>
    <t>Only in case of input data code =1 or 4:</t>
  </si>
  <si>
    <t xml:space="preserve"> (two-sided)</t>
  </si>
  <si>
    <t xml:space="preserve">excluding DK/NA    </t>
  </si>
  <si>
    <t>4.   The programme  performs a Kolmogorow-Smirnow two-sample test in case the complete</t>
  </si>
  <si>
    <t xml:space="preserve">       distribution is available.  This test is based on a chi-square test with 2 df as a acceptable</t>
  </si>
  <si>
    <t xml:space="preserve">       approcimation  in case  both N(A) &gt; 40 and  N(B) &gt; 40. For smaller samples, exact critical </t>
  </si>
  <si>
    <t>5.    The programme also computes the above statistics for the scores after linear</t>
  </si>
  <si>
    <t>6.     If the author of a publication has used a happiness scale with low scores for 'happy'</t>
  </si>
  <si>
    <t>7.    A third worksheet ("Transfm") allows to transform reported statistics (distribution</t>
  </si>
  <si>
    <t>8.   For the double dichotomy (2 x 2 contingency tables), a special worksheet has been included.</t>
  </si>
  <si>
    <t>9.    Some input errors are detected by the programme and give rise to a warning message.</t>
  </si>
  <si>
    <t>10.  Only the (yellow) input cells are unprotected.</t>
  </si>
  <si>
    <t xml:space="preserve">       values ore better approximations should be obtained from the  statistical textbooks.</t>
  </si>
  <si>
    <t xml:space="preserve">   Specification of the levels of the correlate:</t>
  </si>
  <si>
    <t>Risk and relatieve risk:</t>
  </si>
  <si>
    <t>("traktement")</t>
  </si>
  <si>
    <r>
      <t>D(KS) = │D</t>
    </r>
    <r>
      <rPr>
        <sz val="10.5"/>
        <rFont val="Arial"/>
        <family val="2"/>
      </rPr>
      <t>│</t>
    </r>
    <r>
      <rPr>
        <sz val="11.05"/>
        <rFont val="Arial"/>
        <family val="2"/>
      </rPr>
      <t xml:space="preserve">max </t>
    </r>
    <r>
      <rPr>
        <sz val="10"/>
        <rFont val="Arial"/>
        <family val="2"/>
      </rPr>
      <t xml:space="preserve">=    </t>
    </r>
  </si>
  <si>
    <t>KOLMOGOROV-SMIRNOV TEST:</t>
  </si>
  <si>
    <t>Excerptists code:</t>
  </si>
  <si>
    <r>
      <t>(</t>
    </r>
    <r>
      <rPr>
        <b/>
        <sz val="10"/>
        <rFont val="Arial"/>
        <family val="2"/>
      </rPr>
      <t>ENTER ONLY IN  CASE</t>
    </r>
    <r>
      <rPr>
        <sz val="10"/>
        <rFont val="Arial"/>
        <family val="2"/>
      </rPr>
      <t xml:space="preserve">  type input data  = 9)</t>
    </r>
  </si>
  <si>
    <t>FV</t>
  </si>
  <si>
    <t>2011-05-12</t>
  </si>
  <si>
    <t>NYBO</t>
  </si>
  <si>
    <t>2001</t>
  </si>
</sst>
</file>

<file path=xl/styles.xml><?xml version="1.0" encoding="utf-8"?>
<styleSheet xmlns="http://schemas.openxmlformats.org/spreadsheetml/2006/main">
  <numFmts count="6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  <numFmt numFmtId="194" formatCode="&quot;fl&quot;\ #,##0_);\(&quot;fl&quot;\ #,##0\)"/>
    <numFmt numFmtId="195" formatCode="&quot;fl&quot;\ #,##0_);[Red]\(&quot;fl&quot;\ #,##0\)"/>
    <numFmt numFmtId="196" formatCode="&quot;fl&quot;\ #,##0.00_);\(&quot;fl&quot;\ #,##0.00\)"/>
    <numFmt numFmtId="197" formatCode="&quot;fl&quot;\ #,##0.00_);[Red]\(&quot;fl&quot;\ #,##0.00\)"/>
    <numFmt numFmtId="198" formatCode="_(&quot;fl&quot;\ * #,##0_);_(&quot;fl&quot;\ * \(#,##0\);_(&quot;fl&quot;\ * &quot;-&quot;_);_(@_)"/>
    <numFmt numFmtId="199" formatCode="_(&quot;fl&quot;\ * #,##0.00_);_(&quot;fl&quot;\ * \(#,##0.00\);_(&quot;fl&quot;\ * &quot;-&quot;??_);_(@_)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;;"/>
    <numFmt numFmtId="207" formatCode="0.0"/>
    <numFmt numFmtId="208" formatCode="0.0000000000"/>
    <numFmt numFmtId="209" formatCode="0.000000000"/>
    <numFmt numFmtId="210" formatCode="0_)"/>
    <numFmt numFmtId="211" formatCode="0.00_)"/>
    <numFmt numFmtId="212" formatCode="0.0E+00"/>
    <numFmt numFmtId="213" formatCode="0.0%"/>
    <numFmt numFmtId="214" formatCode="0.0_)"/>
    <numFmt numFmtId="215" formatCode="0.000_)"/>
    <numFmt numFmtId="216" formatCode="0.0000_)"/>
    <numFmt numFmtId="217" formatCode="0.00000_)"/>
    <numFmt numFmtId="218" formatCode="0.000000_)"/>
    <numFmt numFmtId="219" formatCode="#,##0.0"/>
    <numFmt numFmtId="220" formatCode="#,##0.000"/>
    <numFmt numFmtId="221" formatCode="0.E+00"/>
  </numFmts>
  <fonts count="66">
    <font>
      <sz val="10"/>
      <name val="Courier"/>
      <family val="0"/>
    </font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34"/>
      <name val="Arial"/>
      <family val="2"/>
    </font>
    <font>
      <sz val="10"/>
      <color indexed="3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9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b/>
      <sz val="10"/>
      <color indexed="9"/>
      <name val="Courier"/>
      <family val="3"/>
    </font>
    <font>
      <b/>
      <sz val="10"/>
      <color indexed="9"/>
      <name val="Arial"/>
      <family val="2"/>
    </font>
    <font>
      <b/>
      <sz val="10"/>
      <color indexed="11"/>
      <name val="Arial"/>
      <family val="2"/>
    </font>
    <font>
      <b/>
      <sz val="9"/>
      <name val="Arial"/>
      <family val="2"/>
    </font>
    <font>
      <sz val="10"/>
      <color indexed="9"/>
      <name val="Arial Black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 Black"/>
      <family val="2"/>
    </font>
    <font>
      <b/>
      <sz val="10"/>
      <color indexed="10"/>
      <name val="Arial Black"/>
      <family val="2"/>
    </font>
    <font>
      <b/>
      <sz val="12"/>
      <color indexed="3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0"/>
      <color indexed="12"/>
      <name val="Arial"/>
      <family val="2"/>
    </font>
    <font>
      <sz val="7"/>
      <name val="Arial"/>
      <family val="2"/>
    </font>
    <font>
      <b/>
      <u val="single"/>
      <sz val="9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0"/>
      <name val="Arial Narrow"/>
      <family val="2"/>
    </font>
    <font>
      <vertAlign val="subscript"/>
      <sz val="10"/>
      <name val="Arial"/>
      <family val="2"/>
    </font>
    <font>
      <sz val="9"/>
      <name val="Arial Narrow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color indexed="10"/>
      <name val="Arial"/>
      <family val="2"/>
    </font>
    <font>
      <sz val="10.5"/>
      <name val="Arial"/>
      <family val="2"/>
    </font>
    <font>
      <vertAlign val="subscript"/>
      <sz val="8"/>
      <name val="Arial"/>
      <family val="2"/>
    </font>
    <font>
      <sz val="10"/>
      <name val="Verdana"/>
      <family val="2"/>
    </font>
    <font>
      <b/>
      <sz val="10"/>
      <name val="Arial Narrow"/>
      <family val="2"/>
    </font>
    <font>
      <i/>
      <sz val="10"/>
      <name val="ESSTIXThirteen"/>
      <family val="0"/>
    </font>
    <font>
      <b/>
      <sz val="10"/>
      <color indexed="34"/>
      <name val="Courier"/>
      <family val="0"/>
    </font>
    <font>
      <sz val="11.05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10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medium"/>
      <right style="medium"/>
      <top style="medium"/>
      <bottom style="thin"/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double"/>
      <top style="medium"/>
      <bottom style="thin"/>
    </border>
    <border>
      <left style="double"/>
      <right style="thick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ck"/>
      <top style="thin"/>
      <bottom style="medium"/>
    </border>
    <border>
      <left style="thin"/>
      <right style="double"/>
      <top style="medium"/>
      <bottom style="medium"/>
    </border>
    <border>
      <left style="double"/>
      <right style="thick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ck"/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ck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ck"/>
      <right style="double"/>
      <top style="thin"/>
      <bottom style="thick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double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21" borderId="2" applyNumberFormat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55" fillId="7" borderId="1" applyNumberFormat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7" applyNumberFormat="0" applyFont="0" applyAlignment="0" applyProtection="0"/>
    <xf numFmtId="0" fontId="60" fillId="3" borderId="0" applyNumberFormat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0" borderId="9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8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left"/>
      <protection/>
    </xf>
    <xf numFmtId="49" fontId="1" fillId="0" borderId="16" xfId="0" applyNumberFormat="1" applyFont="1" applyFill="1" applyBorder="1" applyAlignment="1" applyProtection="1">
      <alignment horizontal="left"/>
      <protection/>
    </xf>
    <xf numFmtId="2" fontId="1" fillId="10" borderId="17" xfId="0" applyNumberFormat="1" applyFont="1" applyFill="1" applyBorder="1" applyAlignment="1" applyProtection="1">
      <alignment horizontal="center"/>
      <protection/>
    </xf>
    <xf numFmtId="2" fontId="1" fillId="10" borderId="18" xfId="0" applyNumberFormat="1" applyFont="1" applyFill="1" applyBorder="1" applyAlignment="1" applyProtection="1">
      <alignment horizontal="center"/>
      <protection/>
    </xf>
    <xf numFmtId="0" fontId="3" fillId="17" borderId="19" xfId="0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20" xfId="0" applyNumberFormat="1" applyFont="1" applyFill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horizontal="center"/>
      <protection/>
    </xf>
    <xf numFmtId="2" fontId="1" fillId="10" borderId="22" xfId="0" applyNumberFormat="1" applyFont="1" applyFill="1" applyBorder="1" applyAlignment="1" applyProtection="1">
      <alignment horizontal="center"/>
      <protection/>
    </xf>
    <xf numFmtId="2" fontId="1" fillId="10" borderId="23" xfId="0" applyNumberFormat="1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/>
      <protection/>
    </xf>
    <xf numFmtId="0" fontId="1" fillId="17" borderId="25" xfId="0" applyFont="1" applyFill="1" applyBorder="1" applyAlignment="1" applyProtection="1">
      <alignment/>
      <protection/>
    </xf>
    <xf numFmtId="0" fontId="4" fillId="17" borderId="25" xfId="0" applyFont="1" applyFill="1" applyBorder="1" applyAlignment="1" applyProtection="1">
      <alignment/>
      <protection/>
    </xf>
    <xf numFmtId="0" fontId="4" fillId="17" borderId="26" xfId="0" applyFont="1" applyFill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/>
    </xf>
    <xf numFmtId="49" fontId="1" fillId="0" borderId="33" xfId="0" applyNumberFormat="1" applyFont="1" applyBorder="1" applyAlignment="1" applyProtection="1">
      <alignment/>
      <protection/>
    </xf>
    <xf numFmtId="206" fontId="2" fillId="0" borderId="27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right"/>
      <protection/>
    </xf>
    <xf numFmtId="0" fontId="0" fillId="0" borderId="29" xfId="0" applyBorder="1" applyAlignment="1" applyProtection="1">
      <alignment/>
      <protection/>
    </xf>
    <xf numFmtId="49" fontId="1" fillId="0" borderId="12" xfId="0" applyNumberFormat="1" applyFont="1" applyBorder="1" applyAlignment="1" applyProtection="1">
      <alignment/>
      <protection/>
    </xf>
    <xf numFmtId="49" fontId="1" fillId="0" borderId="12" xfId="0" applyNumberFormat="1" applyFont="1" applyBorder="1" applyAlignment="1" applyProtection="1">
      <alignment horizontal="right"/>
      <protection/>
    </xf>
    <xf numFmtId="0" fontId="8" fillId="0" borderId="36" xfId="0" applyNumberFormat="1" applyFont="1" applyBorder="1" applyAlignment="1" applyProtection="1">
      <alignment horizontal="left"/>
      <protection/>
    </xf>
    <xf numFmtId="49" fontId="9" fillId="0" borderId="28" xfId="0" applyNumberFormat="1" applyFont="1" applyBorder="1" applyAlignment="1" applyProtection="1">
      <alignment/>
      <protection/>
    </xf>
    <xf numFmtId="49" fontId="9" fillId="0" borderId="37" xfId="0" applyNumberFormat="1" applyFont="1" applyFill="1" applyBorder="1" applyAlignment="1" applyProtection="1">
      <alignment horizontal="center"/>
      <protection/>
    </xf>
    <xf numFmtId="0" fontId="8" fillId="0" borderId="38" xfId="0" applyNumberFormat="1" applyFont="1" applyBorder="1" applyAlignment="1" applyProtection="1">
      <alignment horizontal="left"/>
      <protection/>
    </xf>
    <xf numFmtId="49" fontId="9" fillId="0" borderId="39" xfId="0" applyNumberFormat="1" applyFont="1" applyFill="1" applyBorder="1" applyAlignment="1" applyProtection="1">
      <alignment horizontal="center"/>
      <protection/>
    </xf>
    <xf numFmtId="0" fontId="8" fillId="0" borderId="40" xfId="0" applyNumberFormat="1" applyFont="1" applyBorder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/>
      <protection/>
    </xf>
    <xf numFmtId="49" fontId="9" fillId="0" borderId="41" xfId="0" applyNumberFormat="1" applyFont="1" applyFill="1" applyBorder="1" applyAlignment="1" applyProtection="1">
      <alignment horizontal="center"/>
      <protection/>
    </xf>
    <xf numFmtId="14" fontId="1" fillId="0" borderId="1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24" borderId="42" xfId="0" applyFont="1" applyFill="1" applyBorder="1" applyAlignment="1" applyProtection="1">
      <alignment/>
      <protection/>
    </xf>
    <xf numFmtId="0" fontId="3" fillId="24" borderId="33" xfId="0" applyFont="1" applyFill="1" applyBorder="1" applyAlignment="1" applyProtection="1">
      <alignment/>
      <protection/>
    </xf>
    <xf numFmtId="0" fontId="3" fillId="24" borderId="33" xfId="0" applyFont="1" applyFill="1" applyBorder="1" applyAlignment="1" applyProtection="1">
      <alignment horizontal="right"/>
      <protection/>
    </xf>
    <xf numFmtId="0" fontId="3" fillId="24" borderId="43" xfId="0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49" fontId="1" fillId="0" borderId="44" xfId="0" applyNumberFormat="1" applyFont="1" applyBorder="1" applyAlignment="1" applyProtection="1">
      <alignment horizontal="right"/>
      <protection/>
    </xf>
    <xf numFmtId="1" fontId="1" fillId="10" borderId="45" xfId="0" applyNumberFormat="1" applyFont="1" applyFill="1" applyBorder="1" applyAlignment="1" applyProtection="1">
      <alignment horizontal="center"/>
      <protection/>
    </xf>
    <xf numFmtId="49" fontId="1" fillId="0" borderId="46" xfId="0" applyNumberFormat="1" applyFont="1" applyFill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/>
      <protection/>
    </xf>
    <xf numFmtId="0" fontId="1" fillId="0" borderId="48" xfId="0" applyFont="1" applyBorder="1" applyAlignment="1" applyProtection="1">
      <alignment/>
      <protection/>
    </xf>
    <xf numFmtId="0" fontId="1" fillId="0" borderId="49" xfId="0" applyFont="1" applyBorder="1" applyAlignment="1" applyProtection="1">
      <alignment/>
      <protection/>
    </xf>
    <xf numFmtId="0" fontId="6" fillId="0" borderId="50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/>
      <protection/>
    </xf>
    <xf numFmtId="3" fontId="1" fillId="0" borderId="33" xfId="0" applyNumberFormat="1" applyFont="1" applyBorder="1" applyAlignment="1" applyProtection="1">
      <alignment horizontal="left"/>
      <protection/>
    </xf>
    <xf numFmtId="0" fontId="11" fillId="0" borderId="51" xfId="0" applyFont="1" applyBorder="1" applyAlignment="1" applyProtection="1">
      <alignment/>
      <protection/>
    </xf>
    <xf numFmtId="0" fontId="1" fillId="0" borderId="27" xfId="0" applyFont="1" applyBorder="1" applyAlignment="1">
      <alignment/>
    </xf>
    <xf numFmtId="0" fontId="1" fillId="0" borderId="10" xfId="0" applyFont="1" applyFill="1" applyBorder="1" applyAlignment="1" applyProtection="1">
      <alignment/>
      <protection/>
    </xf>
    <xf numFmtId="0" fontId="1" fillId="0" borderId="52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50" xfId="0" applyNumberFormat="1" applyFont="1" applyFill="1" applyBorder="1" applyAlignment="1" applyProtection="1">
      <alignment horizontal="center"/>
      <protection/>
    </xf>
    <xf numFmtId="49" fontId="1" fillId="0" borderId="53" xfId="0" applyNumberFormat="1" applyFont="1" applyFill="1" applyBorder="1" applyAlignment="1" applyProtection="1">
      <alignment horizontal="center"/>
      <protection/>
    </xf>
    <xf numFmtId="1" fontId="1" fillId="10" borderId="54" xfId="0" applyNumberFormat="1" applyFont="1" applyFill="1" applyBorder="1" applyAlignment="1" applyProtection="1">
      <alignment horizontal="center"/>
      <protection/>
    </xf>
    <xf numFmtId="1" fontId="1" fillId="10" borderId="55" xfId="0" applyNumberFormat="1" applyFont="1" applyFill="1" applyBorder="1" applyAlignment="1" applyProtection="1">
      <alignment horizontal="center"/>
      <protection/>
    </xf>
    <xf numFmtId="49" fontId="1" fillId="0" borderId="31" xfId="0" applyNumberFormat="1" applyFont="1" applyFill="1" applyBorder="1" applyAlignment="1" applyProtection="1">
      <alignment horizontal="center"/>
      <protection/>
    </xf>
    <xf numFmtId="0" fontId="1" fillId="0" borderId="56" xfId="0" applyFont="1" applyBorder="1" applyAlignment="1" applyProtection="1">
      <alignment/>
      <protection/>
    </xf>
    <xf numFmtId="49" fontId="1" fillId="0" borderId="57" xfId="0" applyNumberFormat="1" applyFont="1" applyFill="1" applyBorder="1" applyAlignment="1" applyProtection="1">
      <alignment horizontal="center"/>
      <protection/>
    </xf>
    <xf numFmtId="49" fontId="1" fillId="0" borderId="15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/>
    </xf>
    <xf numFmtId="0" fontId="8" fillId="0" borderId="47" xfId="0" applyNumberFormat="1" applyFont="1" applyBorder="1" applyAlignment="1" applyProtection="1">
      <alignment horizontal="left"/>
      <protection/>
    </xf>
    <xf numFmtId="0" fontId="5" fillId="0" borderId="38" xfId="0" applyFont="1" applyBorder="1" applyAlignment="1" applyProtection="1">
      <alignment horizontal="left"/>
      <protection/>
    </xf>
    <xf numFmtId="49" fontId="5" fillId="0" borderId="58" xfId="0" applyNumberFormat="1" applyFont="1" applyBorder="1" applyAlignment="1" applyProtection="1">
      <alignment horizontal="left"/>
      <protection/>
    </xf>
    <xf numFmtId="0" fontId="5" fillId="0" borderId="59" xfId="0" applyFont="1" applyBorder="1" applyAlignment="1" applyProtection="1">
      <alignment horizontal="center"/>
      <protection/>
    </xf>
    <xf numFmtId="0" fontId="5" fillId="0" borderId="60" xfId="0" applyFont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/>
      <protection/>
    </xf>
    <xf numFmtId="2" fontId="1" fillId="0" borderId="28" xfId="0" applyNumberFormat="1" applyFont="1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/>
      <protection/>
    </xf>
    <xf numFmtId="2" fontId="1" fillId="0" borderId="28" xfId="0" applyNumberFormat="1" applyFont="1" applyFill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/>
      <protection/>
    </xf>
    <xf numFmtId="2" fontId="1" fillId="0" borderId="17" xfId="0" applyNumberFormat="1" applyFont="1" applyFill="1" applyBorder="1" applyAlignment="1" applyProtection="1">
      <alignment/>
      <protection/>
    </xf>
    <xf numFmtId="2" fontId="1" fillId="0" borderId="59" xfId="0" applyNumberFormat="1" applyFont="1" applyFill="1" applyBorder="1" applyAlignment="1" applyProtection="1">
      <alignment/>
      <protection/>
    </xf>
    <xf numFmtId="0" fontId="7" fillId="25" borderId="17" xfId="0" applyFont="1" applyFill="1" applyBorder="1" applyAlignment="1" applyProtection="1">
      <alignment horizontal="center"/>
      <protection/>
    </xf>
    <xf numFmtId="0" fontId="7" fillId="25" borderId="59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/>
      <protection/>
    </xf>
    <xf numFmtId="0" fontId="1" fillId="0" borderId="61" xfId="0" applyFont="1" applyFill="1" applyBorder="1" applyAlignment="1" applyProtection="1">
      <alignment/>
      <protection/>
    </xf>
    <xf numFmtId="0" fontId="1" fillId="0" borderId="62" xfId="0" applyFont="1" applyFill="1" applyBorder="1" applyAlignment="1" applyProtection="1">
      <alignment/>
      <protection/>
    </xf>
    <xf numFmtId="0" fontId="1" fillId="0" borderId="45" xfId="0" applyFont="1" applyFill="1" applyBorder="1" applyAlignment="1" applyProtection="1">
      <alignment/>
      <protection/>
    </xf>
    <xf numFmtId="0" fontId="1" fillId="0" borderId="27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54" xfId="0" applyFont="1" applyFill="1" applyBorder="1" applyAlignment="1" applyProtection="1">
      <alignment/>
      <protection/>
    </xf>
    <xf numFmtId="0" fontId="1" fillId="0" borderId="63" xfId="0" applyFont="1" applyBorder="1" applyAlignment="1" applyProtection="1">
      <alignment horizontal="right"/>
      <protection/>
    </xf>
    <xf numFmtId="0" fontId="9" fillId="0" borderId="38" xfId="0" applyFont="1" applyFill="1" applyBorder="1" applyAlignment="1" applyProtection="1">
      <alignment/>
      <protection/>
    </xf>
    <xf numFmtId="1" fontId="1" fillId="10" borderId="21" xfId="0" applyNumberFormat="1" applyFont="1" applyFill="1" applyBorder="1" applyAlignment="1" applyProtection="1">
      <alignment horizontal="center"/>
      <protection/>
    </xf>
    <xf numFmtId="1" fontId="1" fillId="10" borderId="23" xfId="0" applyNumberFormat="1" applyFont="1" applyFill="1" applyBorder="1" applyAlignment="1" applyProtection="1">
      <alignment horizontal="center"/>
      <protection/>
    </xf>
    <xf numFmtId="207" fontId="1" fillId="10" borderId="62" xfId="0" applyNumberFormat="1" applyFont="1" applyFill="1" applyBorder="1" applyAlignment="1" applyProtection="1">
      <alignment horizontal="center"/>
      <protection/>
    </xf>
    <xf numFmtId="1" fontId="1" fillId="10" borderId="60" xfId="0" applyNumberFormat="1" applyFont="1" applyFill="1" applyBorder="1" applyAlignment="1" applyProtection="1">
      <alignment horizontal="center"/>
      <protection/>
    </xf>
    <xf numFmtId="1" fontId="1" fillId="10" borderId="64" xfId="0" applyNumberFormat="1" applyFont="1" applyFill="1" applyBorder="1" applyAlignment="1" applyProtection="1">
      <alignment horizontal="center"/>
      <protection/>
    </xf>
    <xf numFmtId="0" fontId="1" fillId="0" borderId="51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2" fontId="1" fillId="0" borderId="18" xfId="0" applyNumberFormat="1" applyFont="1" applyFill="1" applyBorder="1" applyAlignment="1" applyProtection="1">
      <alignment horizontal="center"/>
      <protection/>
    </xf>
    <xf numFmtId="2" fontId="1" fillId="0" borderId="22" xfId="0" applyNumberFormat="1" applyFont="1" applyFill="1" applyBorder="1" applyAlignment="1" applyProtection="1">
      <alignment horizontal="center"/>
      <protection/>
    </xf>
    <xf numFmtId="2" fontId="1" fillId="0" borderId="17" xfId="0" applyNumberFormat="1" applyFont="1" applyFill="1" applyBorder="1" applyAlignment="1" applyProtection="1">
      <alignment horizontal="center"/>
      <protection/>
    </xf>
    <xf numFmtId="2" fontId="1" fillId="0" borderId="23" xfId="0" applyNumberFormat="1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/>
      <protection/>
    </xf>
    <xf numFmtId="49" fontId="1" fillId="0" borderId="44" xfId="0" applyNumberFormat="1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0" fillId="0" borderId="65" xfId="0" applyFont="1" applyFill="1" applyBorder="1" applyAlignment="1" applyProtection="1">
      <alignment/>
      <protection/>
    </xf>
    <xf numFmtId="49" fontId="1" fillId="0" borderId="66" xfId="0" applyNumberFormat="1" applyFont="1" applyFill="1" applyBorder="1" applyAlignment="1" applyProtection="1">
      <alignment/>
      <protection/>
    </xf>
    <xf numFmtId="49" fontId="1" fillId="0" borderId="66" xfId="0" applyNumberFormat="1" applyFont="1" applyFill="1" applyBorder="1" applyAlignment="1" applyProtection="1">
      <alignment horizontal="right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1" fillId="0" borderId="67" xfId="0" applyFont="1" applyBorder="1" applyAlignment="1" applyProtection="1">
      <alignment/>
      <protection/>
    </xf>
    <xf numFmtId="0" fontId="1" fillId="0" borderId="46" xfId="0" applyFont="1" applyBorder="1" applyAlignment="1" applyProtection="1">
      <alignment/>
      <protection/>
    </xf>
    <xf numFmtId="0" fontId="1" fillId="0" borderId="61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27" xfId="0" applyFont="1" applyBorder="1" applyAlignment="1">
      <alignment/>
    </xf>
    <xf numFmtId="0" fontId="0" fillId="21" borderId="68" xfId="0" applyFill="1" applyBorder="1" applyAlignment="1" applyProtection="1">
      <alignment/>
      <protection/>
    </xf>
    <xf numFmtId="49" fontId="1" fillId="21" borderId="33" xfId="0" applyNumberFormat="1" applyFont="1" applyFill="1" applyBorder="1" applyAlignment="1" applyProtection="1">
      <alignment/>
      <protection/>
    </xf>
    <xf numFmtId="49" fontId="1" fillId="21" borderId="33" xfId="0" applyNumberFormat="1" applyFont="1" applyFill="1" applyBorder="1" applyAlignment="1" applyProtection="1">
      <alignment horizontal="right"/>
      <protection/>
    </xf>
    <xf numFmtId="2" fontId="14" fillId="21" borderId="33" xfId="0" applyNumberFormat="1" applyFont="1" applyFill="1" applyBorder="1" applyAlignment="1" applyProtection="1">
      <alignment horizontal="center"/>
      <protection/>
    </xf>
    <xf numFmtId="2" fontId="14" fillId="21" borderId="20" xfId="0" applyNumberFormat="1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21" borderId="33" xfId="0" applyFont="1" applyFill="1" applyBorder="1" applyAlignment="1" applyProtection="1">
      <alignment horizontal="center"/>
      <protection/>
    </xf>
    <xf numFmtId="0" fontId="1" fillId="0" borderId="69" xfId="0" applyFont="1" applyBorder="1" applyAlignment="1" applyProtection="1">
      <alignment/>
      <protection/>
    </xf>
    <xf numFmtId="0" fontId="2" fillId="0" borderId="70" xfId="0" applyFont="1" applyBorder="1" applyAlignment="1" applyProtection="1">
      <alignment/>
      <protection/>
    </xf>
    <xf numFmtId="0" fontId="1" fillId="0" borderId="70" xfId="0" applyFont="1" applyBorder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1" fontId="1" fillId="0" borderId="0" xfId="0" applyNumberFormat="1" applyFont="1" applyFill="1" applyBorder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/>
      <protection/>
    </xf>
    <xf numFmtId="1" fontId="1" fillId="10" borderId="71" xfId="0" applyNumberFormat="1" applyFont="1" applyFill="1" applyBorder="1" applyAlignment="1" applyProtection="1">
      <alignment horizontal="center"/>
      <protection/>
    </xf>
    <xf numFmtId="207" fontId="1" fillId="10" borderId="16" xfId="0" applyNumberFormat="1" applyFont="1" applyFill="1" applyBorder="1" applyAlignment="1" applyProtection="1">
      <alignment horizontal="center"/>
      <protection/>
    </xf>
    <xf numFmtId="49" fontId="18" fillId="0" borderId="49" xfId="0" applyNumberFormat="1" applyFont="1" applyFill="1" applyBorder="1" applyAlignment="1" applyProtection="1">
      <alignment horizontal="left"/>
      <protection/>
    </xf>
    <xf numFmtId="0" fontId="1" fillId="0" borderId="44" xfId="0" applyFont="1" applyBorder="1" applyAlignment="1" applyProtection="1">
      <alignment/>
      <protection/>
    </xf>
    <xf numFmtId="207" fontId="1" fillId="10" borderId="58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left"/>
    </xf>
    <xf numFmtId="0" fontId="1" fillId="0" borderId="72" xfId="0" applyFont="1" applyFill="1" applyBorder="1" applyAlignment="1" applyProtection="1">
      <alignment/>
      <protection/>
    </xf>
    <xf numFmtId="0" fontId="1" fillId="0" borderId="73" xfId="0" applyFont="1" applyFill="1" applyBorder="1" applyAlignment="1" applyProtection="1">
      <alignment/>
      <protection/>
    </xf>
    <xf numFmtId="0" fontId="1" fillId="0" borderId="74" xfId="0" applyFont="1" applyFill="1" applyBorder="1" applyAlignment="1" applyProtection="1">
      <alignment horizontal="center"/>
      <protection locked="0"/>
    </xf>
    <xf numFmtId="1" fontId="1" fillId="0" borderId="40" xfId="0" applyNumberFormat="1" applyFont="1" applyFill="1" applyBorder="1" applyAlignment="1" applyProtection="1">
      <alignment horizontal="center"/>
      <protection/>
    </xf>
    <xf numFmtId="1" fontId="1" fillId="0" borderId="12" xfId="0" applyNumberFormat="1" applyFont="1" applyFill="1" applyBorder="1" applyAlignment="1" applyProtection="1">
      <alignment horizontal="center"/>
      <protection/>
    </xf>
    <xf numFmtId="1" fontId="14" fillId="0" borderId="28" xfId="0" applyNumberFormat="1" applyFont="1" applyFill="1" applyBorder="1" applyAlignment="1" applyProtection="1">
      <alignment horizontal="center"/>
      <protection/>
    </xf>
    <xf numFmtId="207" fontId="14" fillId="0" borderId="28" xfId="0" applyNumberFormat="1" applyFont="1" applyFill="1" applyBorder="1" applyAlignment="1" applyProtection="1">
      <alignment horizontal="center"/>
      <protection/>
    </xf>
    <xf numFmtId="0" fontId="17" fillId="0" borderId="75" xfId="0" applyFont="1" applyFill="1" applyBorder="1" applyAlignment="1" applyProtection="1">
      <alignment horizontal="right"/>
      <protection/>
    </xf>
    <xf numFmtId="1" fontId="1" fillId="0" borderId="76" xfId="0" applyNumberFormat="1" applyFont="1" applyFill="1" applyBorder="1" applyAlignment="1" applyProtection="1">
      <alignment horizontal="center"/>
      <protection/>
    </xf>
    <xf numFmtId="2" fontId="1" fillId="10" borderId="76" xfId="0" applyNumberFormat="1" applyFont="1" applyFill="1" applyBorder="1" applyAlignment="1" applyProtection="1">
      <alignment horizontal="center"/>
      <protection/>
    </xf>
    <xf numFmtId="207" fontId="6" fillId="0" borderId="16" xfId="0" applyNumberFormat="1" applyFont="1" applyFill="1" applyBorder="1" applyAlignment="1" applyProtection="1">
      <alignment horizontal="right"/>
      <protection/>
    </xf>
    <xf numFmtId="0" fontId="10" fillId="26" borderId="77" xfId="0" applyFont="1" applyFill="1" applyBorder="1" applyAlignment="1" applyProtection="1">
      <alignment horizontal="center"/>
      <protection locked="0"/>
    </xf>
    <xf numFmtId="0" fontId="10" fillId="26" borderId="78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/>
      <protection/>
    </xf>
    <xf numFmtId="49" fontId="1" fillId="0" borderId="12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" fillId="0" borderId="79" xfId="0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 horizontal="right"/>
      <protection/>
    </xf>
    <xf numFmtId="1" fontId="1" fillId="0" borderId="24" xfId="0" applyNumberFormat="1" applyFont="1" applyFill="1" applyBorder="1" applyAlignment="1" applyProtection="1">
      <alignment horizontal="center"/>
      <protection/>
    </xf>
    <xf numFmtId="0" fontId="9" fillId="0" borderId="24" xfId="0" applyFont="1" applyFill="1" applyBorder="1" applyAlignment="1" applyProtection="1">
      <alignment/>
      <protection/>
    </xf>
    <xf numFmtId="0" fontId="1" fillId="0" borderId="80" xfId="0" applyFont="1" applyFill="1" applyBorder="1" applyAlignment="1" applyProtection="1">
      <alignment/>
      <protection/>
    </xf>
    <xf numFmtId="0" fontId="1" fillId="0" borderId="81" xfId="0" applyFont="1" applyFill="1" applyBorder="1" applyAlignment="1" applyProtection="1">
      <alignment/>
      <protection/>
    </xf>
    <xf numFmtId="1" fontId="1" fillId="0" borderId="81" xfId="0" applyNumberFormat="1" applyFont="1" applyFill="1" applyBorder="1" applyAlignment="1" applyProtection="1">
      <alignment horizontal="center"/>
      <protection/>
    </xf>
    <xf numFmtId="0" fontId="9" fillId="0" borderId="81" xfId="0" applyFont="1" applyFill="1" applyBorder="1" applyAlignment="1" applyProtection="1">
      <alignment/>
      <protection/>
    </xf>
    <xf numFmtId="0" fontId="1" fillId="0" borderId="82" xfId="0" applyFont="1" applyFill="1" applyBorder="1" applyAlignment="1" applyProtection="1">
      <alignment/>
      <protection/>
    </xf>
    <xf numFmtId="0" fontId="18" fillId="25" borderId="42" xfId="0" applyFont="1" applyFill="1" applyBorder="1" applyAlignment="1" applyProtection="1">
      <alignment horizontal="left"/>
      <protection/>
    </xf>
    <xf numFmtId="0" fontId="7" fillId="25" borderId="43" xfId="0" applyFont="1" applyFill="1" applyBorder="1" applyAlignment="1" applyProtection="1">
      <alignment/>
      <protection/>
    </xf>
    <xf numFmtId="0" fontId="1" fillId="0" borderId="53" xfId="0" applyFont="1" applyBorder="1" applyAlignment="1" applyProtection="1">
      <alignment/>
      <protection/>
    </xf>
    <xf numFmtId="0" fontId="1" fillId="0" borderId="44" xfId="0" applyFont="1" applyBorder="1" applyAlignment="1" applyProtection="1">
      <alignment horizontal="right"/>
      <protection/>
    </xf>
    <xf numFmtId="0" fontId="0" fillId="0" borderId="27" xfId="0" applyFill="1" applyBorder="1" applyAlignment="1" applyProtection="1">
      <alignment/>
      <protection/>
    </xf>
    <xf numFmtId="2" fontId="14" fillId="0" borderId="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2" fontId="14" fillId="0" borderId="28" xfId="0" applyNumberFormat="1" applyFont="1" applyFill="1" applyBorder="1" applyAlignment="1" applyProtection="1">
      <alignment horizontal="center"/>
      <protection/>
    </xf>
    <xf numFmtId="0" fontId="7" fillId="25" borderId="11" xfId="0" applyFont="1" applyFill="1" applyBorder="1" applyAlignment="1" applyProtection="1">
      <alignment horizontal="center"/>
      <protection/>
    </xf>
    <xf numFmtId="0" fontId="7" fillId="0" borderId="83" xfId="0" applyFont="1" applyFill="1" applyBorder="1" applyAlignment="1" applyProtection="1">
      <alignment horizontal="center"/>
      <protection/>
    </xf>
    <xf numFmtId="2" fontId="1" fillId="0" borderId="84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9" fontId="1" fillId="0" borderId="12" xfId="0" applyNumberFormat="1" applyFont="1" applyFill="1" applyBorder="1" applyAlignment="1" applyProtection="1">
      <alignment horizontal="right"/>
      <protection/>
    </xf>
    <xf numFmtId="2" fontId="1" fillId="0" borderId="32" xfId="0" applyNumberFormat="1" applyFont="1" applyFill="1" applyBorder="1" applyAlignment="1" applyProtection="1">
      <alignment horizontal="center"/>
      <protection/>
    </xf>
    <xf numFmtId="2" fontId="1" fillId="0" borderId="85" xfId="0" applyNumberFormat="1" applyFont="1" applyFill="1" applyBorder="1" applyAlignment="1" applyProtection="1">
      <alignment horizontal="center"/>
      <protection/>
    </xf>
    <xf numFmtId="0" fontId="0" fillId="0" borderId="51" xfId="0" applyFont="1" applyFill="1" applyBorder="1" applyAlignment="1" applyProtection="1">
      <alignment/>
      <protection/>
    </xf>
    <xf numFmtId="49" fontId="1" fillId="0" borderId="28" xfId="0" applyNumberFormat="1" applyFont="1" applyFill="1" applyBorder="1" applyAlignment="1" applyProtection="1">
      <alignment/>
      <protection/>
    </xf>
    <xf numFmtId="49" fontId="1" fillId="0" borderId="28" xfId="0" applyNumberFormat="1" applyFont="1" applyFill="1" applyBorder="1" applyAlignment="1" applyProtection="1">
      <alignment horizontal="right"/>
      <protection/>
    </xf>
    <xf numFmtId="0" fontId="1" fillId="0" borderId="28" xfId="0" applyFont="1" applyFill="1" applyBorder="1" applyAlignment="1" applyProtection="1">
      <alignment horizontal="center"/>
      <protection/>
    </xf>
    <xf numFmtId="2" fontId="1" fillId="0" borderId="57" xfId="0" applyNumberFormat="1" applyFont="1" applyFill="1" applyBorder="1" applyAlignment="1" applyProtection="1">
      <alignment horizontal="center"/>
      <protection/>
    </xf>
    <xf numFmtId="0" fontId="11" fillId="0" borderId="27" xfId="0" applyFont="1" applyFill="1" applyBorder="1" applyAlignment="1" applyProtection="1">
      <alignment/>
      <protection/>
    </xf>
    <xf numFmtId="0" fontId="1" fillId="0" borderId="66" xfId="0" applyFont="1" applyFill="1" applyBorder="1" applyAlignment="1" applyProtection="1">
      <alignment horizontal="center"/>
      <protection/>
    </xf>
    <xf numFmtId="0" fontId="19" fillId="24" borderId="70" xfId="0" applyFont="1" applyFill="1" applyBorder="1" applyAlignment="1" applyProtection="1">
      <alignment/>
      <protection/>
    </xf>
    <xf numFmtId="0" fontId="1" fillId="24" borderId="70" xfId="0" applyFont="1" applyFill="1" applyBorder="1" applyAlignment="1" applyProtection="1">
      <alignment/>
      <protection/>
    </xf>
    <xf numFmtId="205" fontId="1" fillId="0" borderId="0" xfId="0" applyNumberFormat="1" applyFont="1" applyFill="1" applyBorder="1" applyAlignment="1" applyProtection="1">
      <alignment horizontal="right"/>
      <protection/>
    </xf>
    <xf numFmtId="0" fontId="0" fillId="0" borderId="27" xfId="0" applyBorder="1" applyAlignment="1">
      <alignment/>
    </xf>
    <xf numFmtId="2" fontId="1" fillId="0" borderId="14" xfId="0" applyNumberFormat="1" applyFont="1" applyFill="1" applyBorder="1" applyAlignment="1" applyProtection="1">
      <alignment/>
      <protection/>
    </xf>
    <xf numFmtId="2" fontId="1" fillId="0" borderId="83" xfId="0" applyNumberFormat="1" applyFont="1" applyFill="1" applyBorder="1" applyAlignment="1" applyProtection="1">
      <alignment/>
      <protection/>
    </xf>
    <xf numFmtId="0" fontId="20" fillId="0" borderId="27" xfId="0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0" fontId="7" fillId="25" borderId="33" xfId="0" applyFont="1" applyFill="1" applyBorder="1" applyAlignment="1" applyProtection="1">
      <alignment/>
      <protection/>
    </xf>
    <xf numFmtId="0" fontId="1" fillId="25" borderId="43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7" fillId="25" borderId="86" xfId="0" applyFont="1" applyFill="1" applyBorder="1" applyAlignment="1" applyProtection="1">
      <alignment horizontal="center"/>
      <protection/>
    </xf>
    <xf numFmtId="0" fontId="6" fillId="0" borderId="71" xfId="0" applyFont="1" applyBorder="1" applyAlignment="1" applyProtection="1">
      <alignment horizontal="left"/>
      <protection/>
    </xf>
    <xf numFmtId="0" fontId="6" fillId="0" borderId="86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1" fillId="0" borderId="33" xfId="0" applyFont="1" applyFill="1" applyBorder="1" applyAlignment="1" applyProtection="1">
      <alignment/>
      <protection/>
    </xf>
    <xf numFmtId="0" fontId="1" fillId="0" borderId="33" xfId="0" applyFont="1" applyFill="1" applyBorder="1" applyAlignment="1" applyProtection="1">
      <alignment horizontal="right"/>
      <protection/>
    </xf>
    <xf numFmtId="0" fontId="1" fillId="0" borderId="67" xfId="0" applyFont="1" applyFill="1" applyBorder="1" applyAlignment="1" applyProtection="1">
      <alignment/>
      <protection/>
    </xf>
    <xf numFmtId="0" fontId="1" fillId="0" borderId="87" xfId="0" applyFont="1" applyBorder="1" applyAlignment="1" applyProtection="1">
      <alignment/>
      <protection/>
    </xf>
    <xf numFmtId="0" fontId="6" fillId="0" borderId="88" xfId="0" applyFont="1" applyBorder="1" applyAlignment="1" applyProtection="1">
      <alignment horizontal="left"/>
      <protection/>
    </xf>
    <xf numFmtId="0" fontId="1" fillId="0" borderId="89" xfId="0" applyFont="1" applyBorder="1" applyAlignment="1" applyProtection="1">
      <alignment/>
      <protection/>
    </xf>
    <xf numFmtId="0" fontId="1" fillId="0" borderId="90" xfId="0" applyFont="1" applyBorder="1" applyAlignment="1" applyProtection="1">
      <alignment/>
      <protection/>
    </xf>
    <xf numFmtId="0" fontId="1" fillId="0" borderId="81" xfId="0" applyFont="1" applyBorder="1" applyAlignment="1" applyProtection="1">
      <alignment/>
      <protection/>
    </xf>
    <xf numFmtId="0" fontId="1" fillId="0" borderId="91" xfId="0" applyFont="1" applyBorder="1" applyAlignment="1" applyProtection="1">
      <alignment/>
      <protection/>
    </xf>
    <xf numFmtId="0" fontId="1" fillId="0" borderId="47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/>
      <protection/>
    </xf>
    <xf numFmtId="49" fontId="9" fillId="0" borderId="33" xfId="0" applyNumberFormat="1" applyFont="1" applyFill="1" applyBorder="1" applyAlignment="1" applyProtection="1">
      <alignment horizontal="center"/>
      <protection/>
    </xf>
    <xf numFmtId="49" fontId="1" fillId="0" borderId="20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92" xfId="0" applyFont="1" applyFill="1" applyBorder="1" applyAlignment="1" applyProtection="1">
      <alignment/>
      <protection/>
    </xf>
    <xf numFmtId="0" fontId="1" fillId="0" borderId="83" xfId="0" applyFont="1" applyFill="1" applyBorder="1" applyAlignment="1" applyProtection="1">
      <alignment horizontal="center"/>
      <protection locked="0"/>
    </xf>
    <xf numFmtId="0" fontId="9" fillId="0" borderId="93" xfId="0" applyFont="1" applyFill="1" applyBorder="1" applyAlignment="1">
      <alignment/>
    </xf>
    <xf numFmtId="2" fontId="7" fillId="0" borderId="0" xfId="0" applyNumberFormat="1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/>
      <protection/>
    </xf>
    <xf numFmtId="0" fontId="7" fillId="0" borderId="94" xfId="0" applyFont="1" applyFill="1" applyBorder="1" applyAlignment="1" applyProtection="1">
      <alignment horizontal="center"/>
      <protection locked="0"/>
    </xf>
    <xf numFmtId="0" fontId="5" fillId="0" borderId="94" xfId="0" applyFont="1" applyBorder="1" applyAlignment="1" applyProtection="1">
      <alignment horizontal="left"/>
      <protection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73" xfId="0" applyFont="1" applyBorder="1" applyAlignment="1">
      <alignment/>
    </xf>
    <xf numFmtId="0" fontId="1" fillId="0" borderId="83" xfId="0" applyFont="1" applyBorder="1" applyAlignment="1">
      <alignment/>
    </xf>
    <xf numFmtId="0" fontId="11" fillId="0" borderId="87" xfId="0" applyFont="1" applyBorder="1" applyAlignment="1" applyProtection="1">
      <alignment/>
      <protection/>
    </xf>
    <xf numFmtId="0" fontId="7" fillId="0" borderId="81" xfId="0" applyFont="1" applyBorder="1" applyAlignment="1" applyProtection="1">
      <alignment horizontal="left"/>
      <protection/>
    </xf>
    <xf numFmtId="0" fontId="7" fillId="0" borderId="81" xfId="0" applyFont="1" applyBorder="1" applyAlignment="1" applyProtection="1">
      <alignment/>
      <protection/>
    </xf>
    <xf numFmtId="0" fontId="1" fillId="0" borderId="81" xfId="0" applyFont="1" applyBorder="1" applyAlignment="1" applyProtection="1">
      <alignment horizontal="right"/>
      <protection/>
    </xf>
    <xf numFmtId="0" fontId="1" fillId="0" borderId="82" xfId="0" applyFont="1" applyBorder="1" applyAlignment="1" applyProtection="1">
      <alignment horizontal="right"/>
      <protection/>
    </xf>
    <xf numFmtId="0" fontId="1" fillId="21" borderId="20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right"/>
      <protection locked="0"/>
    </xf>
    <xf numFmtId="0" fontId="1" fillId="0" borderId="42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95" xfId="0" applyFont="1" applyBorder="1" applyAlignment="1" applyProtection="1">
      <alignment horizontal="center"/>
      <protection/>
    </xf>
    <xf numFmtId="0" fontId="1" fillId="0" borderId="83" xfId="0" applyFont="1" applyBorder="1" applyAlignment="1" applyProtection="1">
      <alignment/>
      <protection/>
    </xf>
    <xf numFmtId="205" fontId="1" fillId="0" borderId="0" xfId="0" applyNumberFormat="1" applyFont="1" applyBorder="1" applyAlignment="1" applyProtection="1">
      <alignment horizontal="left"/>
      <protection/>
    </xf>
    <xf numFmtId="0" fontId="1" fillId="0" borderId="27" xfId="0" applyFont="1" applyBorder="1" applyAlignment="1" applyProtection="1">
      <alignment horizontal="left"/>
      <protection/>
    </xf>
    <xf numFmtId="0" fontId="0" fillId="0" borderId="96" xfId="0" applyBorder="1" applyAlignment="1" applyProtection="1">
      <alignment/>
      <protection/>
    </xf>
    <xf numFmtId="0" fontId="0" fillId="0" borderId="97" xfId="0" applyBorder="1" applyAlignment="1" applyProtection="1">
      <alignment/>
      <protection/>
    </xf>
    <xf numFmtId="0" fontId="15" fillId="24" borderId="2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/>
      <protection locked="0"/>
    </xf>
    <xf numFmtId="0" fontId="9" fillId="0" borderId="2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1" fillId="0" borderId="43" xfId="0" applyFont="1" applyBorder="1" applyAlignment="1" applyProtection="1">
      <alignment/>
      <protection/>
    </xf>
    <xf numFmtId="0" fontId="1" fillId="0" borderId="71" xfId="0" applyFont="1" applyBorder="1" applyAlignment="1" applyProtection="1">
      <alignment horizontal="center"/>
      <protection/>
    </xf>
    <xf numFmtId="0" fontId="1" fillId="0" borderId="93" xfId="0" applyFont="1" applyBorder="1" applyAlignment="1" applyProtection="1">
      <alignment/>
      <protection/>
    </xf>
    <xf numFmtId="205" fontId="1" fillId="10" borderId="17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81" xfId="0" applyBorder="1" applyAlignment="1" applyProtection="1">
      <alignment/>
      <protection/>
    </xf>
    <xf numFmtId="0" fontId="0" fillId="0" borderId="82" xfId="0" applyBorder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18" fillId="0" borderId="63" xfId="0" applyFont="1" applyBorder="1" applyAlignment="1" applyProtection="1">
      <alignment/>
      <protection/>
    </xf>
    <xf numFmtId="3" fontId="1" fillId="10" borderId="98" xfId="0" applyNumberFormat="1" applyFont="1" applyFill="1" applyBorder="1" applyAlignment="1" applyProtection="1">
      <alignment/>
      <protection/>
    </xf>
    <xf numFmtId="0" fontId="1" fillId="10" borderId="98" xfId="0" applyFont="1" applyFill="1" applyBorder="1" applyAlignment="1" applyProtection="1">
      <alignment/>
      <protection/>
    </xf>
    <xf numFmtId="0" fontId="1" fillId="0" borderId="3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72" xfId="0" applyFont="1" applyBorder="1" applyAlignment="1" applyProtection="1">
      <alignment/>
      <protection/>
    </xf>
    <xf numFmtId="0" fontId="1" fillId="0" borderId="73" xfId="0" applyFont="1" applyBorder="1" applyAlignment="1" applyProtection="1">
      <alignment/>
      <protection/>
    </xf>
    <xf numFmtId="0" fontId="1" fillId="0" borderId="74" xfId="0" applyFont="1" applyBorder="1" applyAlignment="1" applyProtection="1">
      <alignment/>
      <protection/>
    </xf>
    <xf numFmtId="11" fontId="1" fillId="0" borderId="0" xfId="0" applyNumberFormat="1" applyFont="1" applyFill="1" applyBorder="1" applyAlignment="1" applyProtection="1">
      <alignment horizontal="center"/>
      <protection/>
    </xf>
    <xf numFmtId="205" fontId="1" fillId="0" borderId="0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right"/>
      <protection/>
    </xf>
    <xf numFmtId="2" fontId="1" fillId="0" borderId="27" xfId="0" applyNumberFormat="1" applyFont="1" applyFill="1" applyBorder="1" applyAlignment="1" applyProtection="1">
      <alignment/>
      <protection/>
    </xf>
    <xf numFmtId="204" fontId="1" fillId="10" borderId="17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left"/>
      <protection/>
    </xf>
    <xf numFmtId="0" fontId="0" fillId="26" borderId="27" xfId="0" applyFill="1" applyBorder="1" applyAlignment="1" applyProtection="1">
      <alignment/>
      <protection locked="0"/>
    </xf>
    <xf numFmtId="49" fontId="1" fillId="26" borderId="0" xfId="0" applyNumberFormat="1" applyFont="1" applyFill="1" applyBorder="1" applyAlignment="1" applyProtection="1">
      <alignment/>
      <protection locked="0"/>
    </xf>
    <xf numFmtId="49" fontId="1" fillId="26" borderId="0" xfId="0" applyNumberFormat="1" applyFont="1" applyFill="1" applyBorder="1" applyAlignment="1" applyProtection="1">
      <alignment horizontal="right"/>
      <protection locked="0"/>
    </xf>
    <xf numFmtId="2" fontId="14" fillId="26" borderId="0" xfId="0" applyNumberFormat="1" applyFont="1" applyFill="1" applyBorder="1" applyAlignment="1" applyProtection="1">
      <alignment horizontal="center"/>
      <protection locked="0"/>
    </xf>
    <xf numFmtId="0" fontId="1" fillId="26" borderId="0" xfId="0" applyFont="1" applyFill="1" applyBorder="1" applyAlignment="1" applyProtection="1">
      <alignment horizontal="center"/>
      <protection locked="0"/>
    </xf>
    <xf numFmtId="2" fontId="14" fillId="26" borderId="10" xfId="0" applyNumberFormat="1" applyFont="1" applyFill="1" applyBorder="1" applyAlignment="1" applyProtection="1">
      <alignment horizontal="center"/>
      <protection locked="0"/>
    </xf>
    <xf numFmtId="49" fontId="20" fillId="0" borderId="0" xfId="0" applyNumberFormat="1" applyFont="1" applyFill="1" applyBorder="1" applyAlignment="1" applyProtection="1">
      <alignment horizontal="right"/>
      <protection/>
    </xf>
    <xf numFmtId="0" fontId="1" fillId="0" borderId="24" xfId="0" applyFont="1" applyBorder="1" applyAlignment="1">
      <alignment/>
    </xf>
    <xf numFmtId="0" fontId="1" fillId="0" borderId="28" xfId="0" applyFont="1" applyBorder="1" applyAlignment="1">
      <alignment/>
    </xf>
    <xf numFmtId="0" fontId="1" fillId="25" borderId="99" xfId="0" applyFont="1" applyFill="1" applyBorder="1" applyAlignment="1">
      <alignment horizontal="center"/>
    </xf>
    <xf numFmtId="0" fontId="1" fillId="25" borderId="100" xfId="0" applyFont="1" applyFill="1" applyBorder="1" applyAlignment="1">
      <alignment horizontal="center"/>
    </xf>
    <xf numFmtId="0" fontId="1" fillId="0" borderId="47" xfId="0" applyFont="1" applyFill="1" applyBorder="1" applyAlignment="1" applyProtection="1">
      <alignment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0" fontId="1" fillId="0" borderId="101" xfId="0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/>
      <protection/>
    </xf>
    <xf numFmtId="0" fontId="1" fillId="0" borderId="102" xfId="0" applyFont="1" applyFill="1" applyBorder="1" applyAlignment="1" applyProtection="1">
      <alignment horizontal="center"/>
      <protection/>
    </xf>
    <xf numFmtId="0" fontId="1" fillId="0" borderId="40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right"/>
      <protection/>
    </xf>
    <xf numFmtId="1" fontId="1" fillId="0" borderId="41" xfId="0" applyNumberFormat="1" applyFont="1" applyFill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left"/>
      <protection/>
    </xf>
    <xf numFmtId="0" fontId="9" fillId="0" borderId="41" xfId="0" applyFont="1" applyFill="1" applyBorder="1" applyAlignment="1" applyProtection="1">
      <alignment/>
      <protection/>
    </xf>
    <xf numFmtId="0" fontId="1" fillId="0" borderId="103" xfId="0" applyFont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9" fillId="0" borderId="0" xfId="0" applyNumberFormat="1" applyFont="1" applyBorder="1" applyAlignment="1" applyProtection="1">
      <alignment/>
      <protection/>
    </xf>
    <xf numFmtId="0" fontId="27" fillId="0" borderId="10" xfId="0" applyFont="1" applyBorder="1" applyAlignment="1" applyProtection="1">
      <alignment horizontal="right"/>
      <protection/>
    </xf>
    <xf numFmtId="2" fontId="10" fillId="26" borderId="103" xfId="0" applyNumberFormat="1" applyFont="1" applyFill="1" applyBorder="1" applyAlignment="1" applyProtection="1">
      <alignment horizontal="center"/>
      <protection locked="0"/>
    </xf>
    <xf numFmtId="2" fontId="10" fillId="26" borderId="104" xfId="0" applyNumberFormat="1" applyFont="1" applyFill="1" applyBorder="1" applyAlignment="1" applyProtection="1">
      <alignment horizontal="center"/>
      <protection locked="0"/>
    </xf>
    <xf numFmtId="2" fontId="10" fillId="0" borderId="0" xfId="0" applyNumberFormat="1" applyFont="1" applyFill="1" applyBorder="1" applyAlignment="1" applyProtection="1">
      <alignment horizontal="center"/>
      <protection locked="0"/>
    </xf>
    <xf numFmtId="0" fontId="1" fillId="0" borderId="105" xfId="0" applyFont="1" applyBorder="1" applyAlignment="1" applyProtection="1">
      <alignment/>
      <protection/>
    </xf>
    <xf numFmtId="0" fontId="1" fillId="0" borderId="10" xfId="0" applyFont="1" applyFill="1" applyBorder="1" applyAlignment="1">
      <alignment/>
    </xf>
    <xf numFmtId="0" fontId="1" fillId="0" borderId="106" xfId="0" applyFont="1" applyBorder="1" applyAlignment="1" applyProtection="1">
      <alignment/>
      <protection/>
    </xf>
    <xf numFmtId="0" fontId="1" fillId="0" borderId="107" xfId="0" applyFont="1" applyFill="1" applyBorder="1" applyAlignment="1" applyProtection="1">
      <alignment/>
      <protection/>
    </xf>
    <xf numFmtId="0" fontId="1" fillId="0" borderId="108" xfId="0" applyFont="1" applyFill="1" applyBorder="1" applyAlignment="1" applyProtection="1">
      <alignment/>
      <protection/>
    </xf>
    <xf numFmtId="0" fontId="1" fillId="0" borderId="109" xfId="0" applyFont="1" applyFill="1" applyBorder="1" applyAlignment="1" applyProtection="1">
      <alignment/>
      <protection/>
    </xf>
    <xf numFmtId="0" fontId="7" fillId="0" borderId="110" xfId="0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49" fontId="1" fillId="0" borderId="27" xfId="0" applyNumberFormat="1" applyFont="1" applyBorder="1" applyAlignment="1" applyProtection="1">
      <alignment/>
      <protection/>
    </xf>
    <xf numFmtId="49" fontId="1" fillId="0" borderId="27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79" xfId="0" applyFont="1" applyBorder="1" applyAlignment="1">
      <alignment/>
    </xf>
    <xf numFmtId="0" fontId="1" fillId="0" borderId="68" xfId="0" applyFont="1" applyFill="1" applyBorder="1" applyAlignment="1" applyProtection="1">
      <alignment/>
      <protection/>
    </xf>
    <xf numFmtId="1" fontId="1" fillId="0" borderId="33" xfId="0" applyNumberFormat="1" applyFont="1" applyFill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/>
      <protection/>
    </xf>
    <xf numFmtId="0" fontId="8" fillId="0" borderId="28" xfId="0" applyNumberFormat="1" applyFont="1" applyBorder="1" applyAlignment="1" applyProtection="1">
      <alignment horizontal="left"/>
      <protection/>
    </xf>
    <xf numFmtId="0" fontId="5" fillId="0" borderId="36" xfId="0" applyFont="1" applyBorder="1" applyAlignment="1" applyProtection="1">
      <alignment horizontal="left"/>
      <protection/>
    </xf>
    <xf numFmtId="0" fontId="9" fillId="0" borderId="37" xfId="0" applyFont="1" applyFill="1" applyBorder="1" applyAlignment="1" applyProtection="1">
      <alignment/>
      <protection/>
    </xf>
    <xf numFmtId="0" fontId="1" fillId="0" borderId="0" xfId="0" applyFont="1" applyBorder="1" applyAlignment="1">
      <alignment horizontal="right"/>
    </xf>
    <xf numFmtId="0" fontId="1" fillId="0" borderId="38" xfId="0" applyFont="1" applyFill="1" applyBorder="1" applyAlignment="1" applyProtection="1">
      <alignment/>
      <protection/>
    </xf>
    <xf numFmtId="206" fontId="0" fillId="0" borderId="0" xfId="0" applyNumberFormat="1" applyFill="1" applyAlignment="1">
      <alignment/>
    </xf>
    <xf numFmtId="2" fontId="0" fillId="0" borderId="0" xfId="0" applyNumberFormat="1" applyFill="1" applyBorder="1" applyAlignment="1" applyProtection="1">
      <alignment/>
      <protection/>
    </xf>
    <xf numFmtId="213" fontId="1" fillId="10" borderId="95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right"/>
    </xf>
    <xf numFmtId="213" fontId="1" fillId="10" borderId="17" xfId="0" applyNumberFormat="1" applyFont="1" applyFill="1" applyBorder="1" applyAlignment="1" applyProtection="1">
      <alignment horizontal="center"/>
      <protection/>
    </xf>
    <xf numFmtId="2" fontId="1" fillId="10" borderId="54" xfId="0" applyNumberFormat="1" applyFont="1" applyFill="1" applyBorder="1" applyAlignment="1" applyProtection="1">
      <alignment horizontal="center"/>
      <protection/>
    </xf>
    <xf numFmtId="2" fontId="1" fillId="10" borderId="111" xfId="0" applyNumberFormat="1" applyFont="1" applyFill="1" applyBorder="1" applyAlignment="1" applyProtection="1">
      <alignment horizontal="center"/>
      <protection/>
    </xf>
    <xf numFmtId="0" fontId="23" fillId="0" borderId="61" xfId="0" applyFont="1" applyFill="1" applyBorder="1" applyAlignment="1">
      <alignment/>
    </xf>
    <xf numFmtId="0" fontId="9" fillId="0" borderId="61" xfId="0" applyFont="1" applyFill="1" applyBorder="1" applyAlignment="1">
      <alignment/>
    </xf>
    <xf numFmtId="0" fontId="1" fillId="0" borderId="56" xfId="0" applyFont="1" applyFill="1" applyBorder="1" applyAlignment="1" applyProtection="1">
      <alignment horizontal="center"/>
      <protection locked="0"/>
    </xf>
    <xf numFmtId="0" fontId="21" fillId="0" borderId="12" xfId="0" applyFont="1" applyFill="1" applyBorder="1" applyAlignment="1">
      <alignment horizontal="left"/>
    </xf>
    <xf numFmtId="0" fontId="22" fillId="0" borderId="41" xfId="0" applyFont="1" applyBorder="1" applyAlignment="1">
      <alignment/>
    </xf>
    <xf numFmtId="0" fontId="22" fillId="0" borderId="52" xfId="0" applyFont="1" applyBorder="1" applyAlignment="1">
      <alignment/>
    </xf>
    <xf numFmtId="0" fontId="9" fillId="0" borderId="112" xfId="0" applyFont="1" applyFill="1" applyBorder="1" applyAlignment="1">
      <alignment/>
    </xf>
    <xf numFmtId="0" fontId="10" fillId="10" borderId="45" xfId="0" applyFont="1" applyFill="1" applyBorder="1" applyAlignment="1" applyProtection="1">
      <alignment horizontal="center"/>
      <protection/>
    </xf>
    <xf numFmtId="0" fontId="10" fillId="10" borderId="17" xfId="0" applyFont="1" applyFill="1" applyBorder="1" applyAlignment="1" applyProtection="1">
      <alignment horizontal="center"/>
      <protection/>
    </xf>
    <xf numFmtId="0" fontId="1" fillId="0" borderId="94" xfId="0" applyFont="1" applyBorder="1" applyAlignment="1" applyProtection="1">
      <alignment/>
      <protection/>
    </xf>
    <xf numFmtId="0" fontId="1" fillId="0" borderId="61" xfId="0" applyFont="1" applyBorder="1" applyAlignment="1" applyProtection="1">
      <alignment/>
      <protection/>
    </xf>
    <xf numFmtId="0" fontId="1" fillId="0" borderId="52" xfId="0" applyFont="1" applyBorder="1" applyAlignment="1" applyProtection="1">
      <alignment/>
      <protection/>
    </xf>
    <xf numFmtId="0" fontId="1" fillId="0" borderId="11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74" xfId="0" applyFont="1" applyFill="1" applyBorder="1" applyAlignment="1" applyProtection="1">
      <alignment/>
      <protection/>
    </xf>
    <xf numFmtId="0" fontId="1" fillId="0" borderId="57" xfId="0" applyFont="1" applyBorder="1" applyAlignment="1">
      <alignment/>
    </xf>
    <xf numFmtId="0" fontId="10" fillId="10" borderId="111" xfId="0" applyFont="1" applyFill="1" applyBorder="1" applyAlignment="1" applyProtection="1">
      <alignment horizontal="center"/>
      <protection/>
    </xf>
    <xf numFmtId="204" fontId="1" fillId="10" borderId="77" xfId="0" applyNumberFormat="1" applyFont="1" applyFill="1" applyBorder="1" applyAlignment="1">
      <alignment horizontal="center"/>
    </xf>
    <xf numFmtId="0" fontId="1" fillId="26" borderId="17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/>
    </xf>
    <xf numFmtId="204" fontId="1" fillId="26" borderId="77" xfId="0" applyNumberFormat="1" applyFont="1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" fillId="25" borderId="50" xfId="0" applyFont="1" applyFill="1" applyBorder="1" applyAlignment="1">
      <alignment horizontal="center"/>
    </xf>
    <xf numFmtId="0" fontId="1" fillId="25" borderId="101" xfId="0" applyFont="1" applyFill="1" applyBorder="1" applyAlignment="1">
      <alignment horizontal="center"/>
    </xf>
    <xf numFmtId="0" fontId="1" fillId="25" borderId="31" xfId="0" applyFont="1" applyFill="1" applyBorder="1" applyAlignment="1">
      <alignment horizontal="center"/>
    </xf>
    <xf numFmtId="0" fontId="1" fillId="25" borderId="102" xfId="0" applyFont="1" applyFill="1" applyBorder="1" applyAlignment="1">
      <alignment horizontal="center"/>
    </xf>
    <xf numFmtId="0" fontId="1" fillId="25" borderId="99" xfId="0" applyFont="1" applyFill="1" applyBorder="1" applyAlignment="1" applyProtection="1">
      <alignment horizontal="center"/>
      <protection/>
    </xf>
    <xf numFmtId="0" fontId="10" fillId="26" borderId="98" xfId="0" applyFont="1" applyFill="1" applyBorder="1" applyAlignment="1" applyProtection="1">
      <alignment horizontal="center"/>
      <protection locked="0"/>
    </xf>
    <xf numFmtId="2" fontId="10" fillId="26" borderId="54" xfId="0" applyNumberFormat="1" applyFont="1" applyFill="1" applyBorder="1" applyAlignment="1" applyProtection="1">
      <alignment horizontal="center"/>
      <protection locked="0"/>
    </xf>
    <xf numFmtId="2" fontId="10" fillId="26" borderId="114" xfId="0" applyNumberFormat="1" applyFont="1" applyFill="1" applyBorder="1" applyAlignment="1" applyProtection="1">
      <alignment horizontal="center"/>
      <protection locked="0"/>
    </xf>
    <xf numFmtId="2" fontId="1" fillId="10" borderId="103" xfId="0" applyNumberFormat="1" applyFont="1" applyFill="1" applyBorder="1" applyAlignment="1">
      <alignment horizontal="center"/>
    </xf>
    <xf numFmtId="2" fontId="10" fillId="26" borderId="111" xfId="0" applyNumberFormat="1" applyFont="1" applyFill="1" applyBorder="1" applyAlignment="1" applyProtection="1">
      <alignment horizontal="center"/>
      <protection locked="0"/>
    </xf>
    <xf numFmtId="2" fontId="10" fillId="26" borderId="115" xfId="0" applyNumberFormat="1" applyFont="1" applyFill="1" applyBorder="1" applyAlignment="1" applyProtection="1">
      <alignment horizontal="center"/>
      <protection locked="0"/>
    </xf>
    <xf numFmtId="2" fontId="1" fillId="10" borderId="104" xfId="0" applyNumberFormat="1" applyFont="1" applyFill="1" applyBorder="1" applyAlignment="1">
      <alignment horizontal="center"/>
    </xf>
    <xf numFmtId="0" fontId="1" fillId="10" borderId="116" xfId="0" applyFont="1" applyFill="1" applyBorder="1" applyAlignment="1" applyProtection="1">
      <alignment horizontal="center"/>
      <protection/>
    </xf>
    <xf numFmtId="0" fontId="1" fillId="25" borderId="100" xfId="0" applyFont="1" applyFill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right"/>
      <protection/>
    </xf>
    <xf numFmtId="0" fontId="9" fillId="0" borderId="17" xfId="0" applyFont="1" applyFill="1" applyBorder="1" applyAlignment="1" applyProtection="1">
      <alignment/>
      <protection/>
    </xf>
    <xf numFmtId="0" fontId="9" fillId="0" borderId="52" xfId="0" applyFont="1" applyFill="1" applyBorder="1" applyAlignment="1" applyProtection="1">
      <alignment/>
      <protection/>
    </xf>
    <xf numFmtId="3" fontId="10" fillId="26" borderId="78" xfId="0" applyNumberFormat="1" applyFont="1" applyFill="1" applyBorder="1" applyAlignment="1" applyProtection="1">
      <alignment horizontal="center"/>
      <protection locked="0"/>
    </xf>
    <xf numFmtId="3" fontId="10" fillId="26" borderId="117" xfId="0" applyNumberFormat="1" applyFont="1" applyFill="1" applyBorder="1" applyAlignment="1" applyProtection="1">
      <alignment horizontal="center"/>
      <protection locked="0"/>
    </xf>
    <xf numFmtId="3" fontId="5" fillId="0" borderId="13" xfId="0" applyNumberFormat="1" applyFont="1" applyBorder="1" applyAlignment="1" applyProtection="1">
      <alignment/>
      <protection/>
    </xf>
    <xf numFmtId="3" fontId="5" fillId="0" borderId="118" xfId="0" applyNumberFormat="1" applyFont="1" applyBorder="1" applyAlignment="1" applyProtection="1">
      <alignment/>
      <protection/>
    </xf>
    <xf numFmtId="3" fontId="5" fillId="0" borderId="119" xfId="0" applyNumberFormat="1" applyFont="1" applyBorder="1" applyAlignment="1" applyProtection="1">
      <alignment/>
      <protection/>
    </xf>
    <xf numFmtId="3" fontId="5" fillId="0" borderId="36" xfId="0" applyNumberFormat="1" applyFont="1" applyFill="1" applyBorder="1" applyAlignment="1" applyProtection="1">
      <alignment/>
      <protection/>
    </xf>
    <xf numFmtId="3" fontId="1" fillId="0" borderId="28" xfId="0" applyNumberFormat="1" applyFont="1" applyFill="1" applyBorder="1" applyAlignment="1" applyProtection="1">
      <alignment horizontal="center"/>
      <protection/>
    </xf>
    <xf numFmtId="4" fontId="1" fillId="0" borderId="28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3" fontId="5" fillId="0" borderId="38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3" fontId="1" fillId="0" borderId="59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1" fillId="10" borderId="120" xfId="0" applyNumberFormat="1" applyFont="1" applyFill="1" applyBorder="1" applyAlignment="1" applyProtection="1">
      <alignment horizontal="center"/>
      <protection/>
    </xf>
    <xf numFmtId="3" fontId="1" fillId="0" borderId="121" xfId="0" applyNumberFormat="1" applyFont="1" applyFill="1" applyBorder="1" applyAlignment="1" applyProtection="1">
      <alignment horizontal="center"/>
      <protection/>
    </xf>
    <xf numFmtId="3" fontId="1" fillId="10" borderId="121" xfId="0" applyNumberFormat="1" applyFont="1" applyFill="1" applyBorder="1" applyAlignment="1" applyProtection="1">
      <alignment horizontal="center"/>
      <protection/>
    </xf>
    <xf numFmtId="3" fontId="1" fillId="10" borderId="114" xfId="0" applyNumberFormat="1" applyFont="1" applyFill="1" applyBorder="1" applyAlignment="1" applyProtection="1">
      <alignment horizontal="center"/>
      <protection/>
    </xf>
    <xf numFmtId="3" fontId="1" fillId="0" borderId="39" xfId="0" applyNumberFormat="1" applyFont="1" applyFill="1" applyBorder="1" applyAlignment="1" applyProtection="1">
      <alignment horizontal="center"/>
      <protection/>
    </xf>
    <xf numFmtId="3" fontId="1" fillId="10" borderId="115" xfId="0" applyNumberFormat="1" applyFont="1" applyFill="1" applyBorder="1" applyAlignment="1" applyProtection="1">
      <alignment horizontal="center"/>
      <protection/>
    </xf>
    <xf numFmtId="3" fontId="6" fillId="10" borderId="17" xfId="0" applyNumberFormat="1" applyFont="1" applyFill="1" applyBorder="1" applyAlignment="1" applyProtection="1">
      <alignment horizontal="center"/>
      <protection/>
    </xf>
    <xf numFmtId="3" fontId="5" fillId="10" borderId="17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/>
      <protection/>
    </xf>
    <xf numFmtId="3" fontId="6" fillId="0" borderId="59" xfId="0" applyNumberFormat="1" applyFont="1" applyFill="1" applyBorder="1" applyAlignment="1" applyProtection="1">
      <alignment horizontal="center"/>
      <protection/>
    </xf>
    <xf numFmtId="4" fontId="1" fillId="0" borderId="12" xfId="0" applyNumberFormat="1" applyFont="1" applyFill="1" applyBorder="1" applyAlignment="1" applyProtection="1">
      <alignment horizontal="center"/>
      <protection/>
    </xf>
    <xf numFmtId="3" fontId="5" fillId="0" borderId="12" xfId="0" applyNumberFormat="1" applyFont="1" applyFill="1" applyBorder="1" applyAlignment="1" applyProtection="1">
      <alignment/>
      <protection/>
    </xf>
    <xf numFmtId="3" fontId="5" fillId="0" borderId="15" xfId="0" applyNumberFormat="1" applyFont="1" applyFill="1" applyBorder="1" applyAlignment="1" applyProtection="1">
      <alignment/>
      <protection/>
    </xf>
    <xf numFmtId="0" fontId="1" fillId="0" borderId="67" xfId="0" applyFont="1" applyBorder="1" applyAlignment="1">
      <alignment horizontal="center"/>
    </xf>
    <xf numFmtId="0" fontId="28" fillId="0" borderId="27" xfId="0" applyNumberFormat="1" applyFont="1" applyBorder="1" applyAlignment="1" applyProtection="1">
      <alignment horizontal="left"/>
      <protection/>
    </xf>
    <xf numFmtId="1" fontId="1" fillId="0" borderId="27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24" xfId="0" applyNumberFormat="1" applyFont="1" applyFill="1" applyBorder="1" applyAlignment="1" applyProtection="1">
      <alignment/>
      <protection/>
    </xf>
    <xf numFmtId="49" fontId="1" fillId="0" borderId="24" xfId="0" applyNumberFormat="1" applyFont="1" applyFill="1" applyBorder="1" applyAlignment="1" applyProtection="1">
      <alignment horizontal="right"/>
      <protection/>
    </xf>
    <xf numFmtId="2" fontId="14" fillId="0" borderId="24" xfId="0" applyNumberFormat="1" applyFont="1" applyFill="1" applyBorder="1" applyAlignment="1" applyProtection="1">
      <alignment horizontal="center"/>
      <protection/>
    </xf>
    <xf numFmtId="0" fontId="1" fillId="0" borderId="80" xfId="0" applyFont="1" applyFill="1" applyBorder="1" applyAlignment="1" applyProtection="1">
      <alignment horizontal="center"/>
      <protection/>
    </xf>
    <xf numFmtId="49" fontId="1" fillId="0" borderId="81" xfId="0" applyNumberFormat="1" applyFont="1" applyFill="1" applyBorder="1" applyAlignment="1" applyProtection="1">
      <alignment/>
      <protection/>
    </xf>
    <xf numFmtId="49" fontId="1" fillId="0" borderId="81" xfId="0" applyNumberFormat="1" applyFont="1" applyFill="1" applyBorder="1" applyAlignment="1" applyProtection="1">
      <alignment horizontal="right"/>
      <protection/>
    </xf>
    <xf numFmtId="2" fontId="14" fillId="0" borderId="81" xfId="0" applyNumberFormat="1" applyFont="1" applyFill="1" applyBorder="1" applyAlignment="1" applyProtection="1">
      <alignment horizontal="center"/>
      <protection/>
    </xf>
    <xf numFmtId="3" fontId="1" fillId="0" borderId="52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205" fontId="1" fillId="10" borderId="62" xfId="0" applyNumberFormat="1" applyFont="1" applyFill="1" applyBorder="1" applyAlignment="1" applyProtection="1">
      <alignment horizontal="center"/>
      <protection/>
    </xf>
    <xf numFmtId="2" fontId="1" fillId="10" borderId="77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21" borderId="33" xfId="0" applyNumberFormat="1" applyFont="1" applyFill="1" applyBorder="1" applyAlignment="1" applyProtection="1">
      <alignment horizontal="center"/>
      <protection/>
    </xf>
    <xf numFmtId="3" fontId="1" fillId="10" borderId="17" xfId="0" applyNumberFormat="1" applyFont="1" applyFill="1" applyBorder="1" applyAlignment="1" applyProtection="1">
      <alignment horizontal="center"/>
      <protection/>
    </xf>
    <xf numFmtId="0" fontId="16" fillId="0" borderId="75" xfId="0" applyFont="1" applyFill="1" applyBorder="1" applyAlignment="1" applyProtection="1">
      <alignment horizontal="right"/>
      <protection/>
    </xf>
    <xf numFmtId="49" fontId="6" fillId="0" borderId="33" xfId="0" applyNumberFormat="1" applyFont="1" applyFill="1" applyBorder="1" applyAlignment="1" applyProtection="1">
      <alignment horizontal="left"/>
      <protection/>
    </xf>
    <xf numFmtId="0" fontId="32" fillId="0" borderId="21" xfId="0" applyFont="1" applyBorder="1" applyAlignment="1" applyProtection="1">
      <alignment horizontal="center"/>
      <protection/>
    </xf>
    <xf numFmtId="0" fontId="33" fillId="0" borderId="27" xfId="0" applyFont="1" applyBorder="1" applyAlignment="1">
      <alignment/>
    </xf>
    <xf numFmtId="1" fontId="7" fillId="25" borderId="17" xfId="0" applyNumberFormat="1" applyFont="1" applyFill="1" applyBorder="1" applyAlignment="1" applyProtection="1">
      <alignment horizontal="center"/>
      <protection/>
    </xf>
    <xf numFmtId="3" fontId="1" fillId="0" borderId="17" xfId="0" applyNumberFormat="1" applyFont="1" applyFill="1" applyBorder="1" applyAlignment="1" applyProtection="1">
      <alignment horizontal="center"/>
      <protection/>
    </xf>
    <xf numFmtId="0" fontId="34" fillId="0" borderId="38" xfId="0" applyFont="1" applyBorder="1" applyAlignment="1" applyProtection="1">
      <alignment horizontal="left"/>
      <protection/>
    </xf>
    <xf numFmtId="3" fontId="1" fillId="10" borderId="71" xfId="0" applyNumberFormat="1" applyFont="1" applyFill="1" applyBorder="1" applyAlignment="1" applyProtection="1">
      <alignment/>
      <protection/>
    </xf>
    <xf numFmtId="2" fontId="1" fillId="0" borderId="95" xfId="0" applyNumberFormat="1" applyFont="1" applyFill="1" applyBorder="1" applyAlignment="1" applyProtection="1">
      <alignment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5" fillId="0" borderId="98" xfId="0" applyFont="1" applyBorder="1" applyAlignment="1" applyProtection="1">
      <alignment/>
      <protection/>
    </xf>
    <xf numFmtId="1" fontId="7" fillId="25" borderId="54" xfId="0" applyNumberFormat="1" applyFont="1" applyFill="1" applyBorder="1" applyAlignment="1" applyProtection="1">
      <alignment horizontal="center"/>
      <protection/>
    </xf>
    <xf numFmtId="1" fontId="7" fillId="25" borderId="111" xfId="0" applyNumberFormat="1" applyFont="1" applyFill="1" applyBorder="1" applyAlignment="1" applyProtection="1">
      <alignment horizontal="center"/>
      <protection/>
    </xf>
    <xf numFmtId="2" fontId="1" fillId="0" borderId="13" xfId="0" applyNumberFormat="1" applyFont="1" applyFill="1" applyBorder="1" applyAlignment="1" applyProtection="1">
      <alignment/>
      <protection/>
    </xf>
    <xf numFmtId="1" fontId="7" fillId="25" borderId="13" xfId="0" applyNumberFormat="1" applyFont="1" applyFill="1" applyBorder="1" applyAlignment="1" applyProtection="1">
      <alignment horizontal="center"/>
      <protection/>
    </xf>
    <xf numFmtId="0" fontId="35" fillId="25" borderId="32" xfId="0" applyFont="1" applyFill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6" fillId="0" borderId="12" xfId="0" applyFont="1" applyFill="1" applyBorder="1" applyAlignment="1">
      <alignment horizontal="left"/>
    </xf>
    <xf numFmtId="0" fontId="36" fillId="0" borderId="0" xfId="0" applyFont="1" applyBorder="1" applyAlignment="1" applyProtection="1">
      <alignment/>
      <protection/>
    </xf>
    <xf numFmtId="0" fontId="0" fillId="21" borderId="29" xfId="0" applyFill="1" applyBorder="1" applyAlignment="1" applyProtection="1">
      <alignment/>
      <protection/>
    </xf>
    <xf numFmtId="49" fontId="1" fillId="21" borderId="12" xfId="0" applyNumberFormat="1" applyFont="1" applyFill="1" applyBorder="1" applyAlignment="1" applyProtection="1">
      <alignment/>
      <protection/>
    </xf>
    <xf numFmtId="49" fontId="1" fillId="21" borderId="12" xfId="0" applyNumberFormat="1" applyFont="1" applyFill="1" applyBorder="1" applyAlignment="1" applyProtection="1">
      <alignment horizontal="right"/>
      <protection/>
    </xf>
    <xf numFmtId="2" fontId="14" fillId="21" borderId="12" xfId="0" applyNumberFormat="1" applyFont="1" applyFill="1" applyBorder="1" applyAlignment="1" applyProtection="1">
      <alignment horizontal="center"/>
      <protection/>
    </xf>
    <xf numFmtId="0" fontId="1" fillId="21" borderId="15" xfId="0" applyFont="1" applyFill="1" applyBorder="1" applyAlignment="1" applyProtection="1">
      <alignment horizontal="center"/>
      <protection/>
    </xf>
    <xf numFmtId="205" fontId="1" fillId="10" borderId="122" xfId="0" applyNumberFormat="1" applyFont="1" applyFill="1" applyBorder="1" applyAlignment="1" applyProtection="1">
      <alignment horizontal="center"/>
      <protection/>
    </xf>
    <xf numFmtId="0" fontId="9" fillId="0" borderId="79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9" fillId="0" borderId="80" xfId="0" applyFont="1" applyBorder="1" applyAlignment="1" applyProtection="1">
      <alignment/>
      <protection/>
    </xf>
    <xf numFmtId="2" fontId="1" fillId="10" borderId="98" xfId="0" applyNumberFormat="1" applyFont="1" applyFill="1" applyBorder="1" applyAlignment="1" applyProtection="1">
      <alignment horizontal="center"/>
      <protection/>
    </xf>
    <xf numFmtId="2" fontId="1" fillId="10" borderId="78" xfId="0" applyNumberFormat="1" applyFont="1" applyFill="1" applyBorder="1" applyAlignment="1" applyProtection="1">
      <alignment horizontal="center"/>
      <protection/>
    </xf>
    <xf numFmtId="2" fontId="1" fillId="10" borderId="114" xfId="0" applyNumberFormat="1" applyFont="1" applyFill="1" applyBorder="1" applyAlignment="1" applyProtection="1">
      <alignment horizontal="center"/>
      <protection/>
    </xf>
    <xf numFmtId="2" fontId="1" fillId="10" borderId="115" xfId="0" applyNumberFormat="1" applyFont="1" applyFill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0" fontId="36" fillId="0" borderId="32" xfId="0" applyFont="1" applyFill="1" applyBorder="1" applyAlignment="1" applyProtection="1">
      <alignment horizontal="center"/>
      <protection/>
    </xf>
    <xf numFmtId="0" fontId="36" fillId="0" borderId="67" xfId="0" applyFont="1" applyFill="1" applyBorder="1" applyAlignment="1" applyProtection="1">
      <alignment horizontal="center"/>
      <protection/>
    </xf>
    <xf numFmtId="3" fontId="10" fillId="10" borderId="16" xfId="0" applyNumberFormat="1" applyFont="1" applyFill="1" applyBorder="1" applyAlignment="1" applyProtection="1">
      <alignment horizontal="right"/>
      <protection/>
    </xf>
    <xf numFmtId="3" fontId="10" fillId="10" borderId="95" xfId="0" applyNumberFormat="1" applyFont="1" applyFill="1" applyBorder="1" applyAlignment="1" applyProtection="1">
      <alignment horizontal="right"/>
      <protection/>
    </xf>
    <xf numFmtId="0" fontId="38" fillId="0" borderId="13" xfId="0" applyFont="1" applyBorder="1" applyAlignment="1" applyProtection="1">
      <alignment horizontal="center"/>
      <protection/>
    </xf>
    <xf numFmtId="0" fontId="38" fillId="0" borderId="31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right" vertical="center"/>
    </xf>
    <xf numFmtId="3" fontId="1" fillId="10" borderId="54" xfId="0" applyNumberFormat="1" applyFont="1" applyFill="1" applyBorder="1" applyAlignment="1" applyProtection="1">
      <alignment/>
      <protection/>
    </xf>
    <xf numFmtId="1" fontId="1" fillId="10" borderId="123" xfId="0" applyNumberFormat="1" applyFont="1" applyFill="1" applyBorder="1" applyAlignment="1" applyProtection="1">
      <alignment horizontal="center"/>
      <protection/>
    </xf>
    <xf numFmtId="0" fontId="36" fillId="0" borderId="13" xfId="0" applyFont="1" applyBorder="1" applyAlignment="1" applyProtection="1">
      <alignment horizontal="center"/>
      <protection/>
    </xf>
    <xf numFmtId="49" fontId="36" fillId="0" borderId="33" xfId="0" applyNumberFormat="1" applyFont="1" applyFill="1" applyBorder="1" applyAlignment="1" applyProtection="1">
      <alignment horizontal="left"/>
      <protection/>
    </xf>
    <xf numFmtId="49" fontId="36" fillId="0" borderId="20" xfId="0" applyNumberFormat="1" applyFont="1" applyFill="1" applyBorder="1" applyAlignment="1" applyProtection="1">
      <alignment horizontal="left"/>
      <protection/>
    </xf>
    <xf numFmtId="3" fontId="1" fillId="0" borderId="33" xfId="0" applyNumberFormat="1" applyFont="1" applyBorder="1" applyAlignment="1" applyProtection="1">
      <alignment horizontal="right"/>
      <protection/>
    </xf>
    <xf numFmtId="0" fontId="1" fillId="0" borderId="46" xfId="0" applyFont="1" applyBorder="1" applyAlignment="1" applyProtection="1">
      <alignment horizontal="center"/>
      <protection/>
    </xf>
    <xf numFmtId="0" fontId="7" fillId="25" borderId="36" xfId="0" applyFont="1" applyFill="1" applyBorder="1" applyAlignment="1" applyProtection="1">
      <alignment horizontal="center"/>
      <protection/>
    </xf>
    <xf numFmtId="0" fontId="7" fillId="25" borderId="40" xfId="0" applyFont="1" applyFill="1" applyBorder="1" applyAlignment="1" applyProtection="1">
      <alignment horizontal="center"/>
      <protection/>
    </xf>
    <xf numFmtId="1" fontId="1" fillId="10" borderId="124" xfId="0" applyNumberFormat="1" applyFont="1" applyFill="1" applyBorder="1" applyAlignment="1" applyProtection="1">
      <alignment horizontal="center"/>
      <protection/>
    </xf>
    <xf numFmtId="0" fontId="31" fillId="0" borderId="28" xfId="0" applyFont="1" applyFill="1" applyBorder="1" applyAlignment="1" applyProtection="1">
      <alignment horizontal="left"/>
      <protection/>
    </xf>
    <xf numFmtId="49" fontId="1" fillId="0" borderId="56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horizontal="center"/>
      <protection/>
    </xf>
    <xf numFmtId="0" fontId="1" fillId="0" borderId="125" xfId="0" applyFont="1" applyFill="1" applyBorder="1" applyAlignment="1" applyProtection="1">
      <alignment horizontal="left"/>
      <protection/>
    </xf>
    <xf numFmtId="0" fontId="1" fillId="0" borderId="126" xfId="0" applyFont="1" applyBorder="1" applyAlignment="1" applyProtection="1">
      <alignment horizontal="right"/>
      <protection/>
    </xf>
    <xf numFmtId="49" fontId="1" fillId="0" borderId="7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>
      <alignment horizontal="right" vertical="center"/>
    </xf>
    <xf numFmtId="0" fontId="0" fillId="0" borderId="79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80" xfId="0" applyBorder="1" applyAlignment="1" applyProtection="1">
      <alignment/>
      <protection/>
    </xf>
    <xf numFmtId="1" fontId="1" fillId="10" borderId="127" xfId="0" applyNumberFormat="1" applyFont="1" applyFill="1" applyBorder="1" applyAlignment="1" applyProtection="1">
      <alignment horizontal="center"/>
      <protection/>
    </xf>
    <xf numFmtId="1" fontId="1" fillId="10" borderId="103" xfId="0" applyNumberFormat="1" applyFont="1" applyFill="1" applyBorder="1" applyAlignment="1" applyProtection="1">
      <alignment horizontal="center"/>
      <protection/>
    </xf>
    <xf numFmtId="1" fontId="1" fillId="10" borderId="104" xfId="0" applyNumberFormat="1" applyFont="1" applyFill="1" applyBorder="1" applyAlignment="1" applyProtection="1">
      <alignment horizontal="center"/>
      <protection/>
    </xf>
    <xf numFmtId="1" fontId="1" fillId="10" borderId="128" xfId="0" applyNumberFormat="1" applyFont="1" applyFill="1" applyBorder="1" applyAlignment="1" applyProtection="1">
      <alignment horizontal="center"/>
      <protection/>
    </xf>
    <xf numFmtId="1" fontId="1" fillId="10" borderId="72" xfId="0" applyNumberFormat="1" applyFont="1" applyFill="1" applyBorder="1" applyAlignment="1" applyProtection="1">
      <alignment horizontal="center"/>
      <protection/>
    </xf>
    <xf numFmtId="207" fontId="1" fillId="10" borderId="74" xfId="0" applyNumberFormat="1" applyFont="1" applyFill="1" applyBorder="1" applyAlignment="1" applyProtection="1">
      <alignment horizontal="center"/>
      <protection/>
    </xf>
    <xf numFmtId="1" fontId="1" fillId="10" borderId="94" xfId="0" applyNumberFormat="1" applyFont="1" applyFill="1" applyBorder="1" applyAlignment="1" applyProtection="1">
      <alignment horizontal="center"/>
      <protection/>
    </xf>
    <xf numFmtId="207" fontId="1" fillId="10" borderId="52" xfId="0" applyNumberFormat="1" applyFont="1" applyFill="1" applyBorder="1" applyAlignment="1" applyProtection="1">
      <alignment horizontal="center"/>
      <protection/>
    </xf>
    <xf numFmtId="1" fontId="1" fillId="10" borderId="92" xfId="0" applyNumberFormat="1" applyFont="1" applyFill="1" applyBorder="1" applyAlignment="1" applyProtection="1">
      <alignment horizontal="center"/>
      <protection/>
    </xf>
    <xf numFmtId="207" fontId="1" fillId="10" borderId="93" xfId="0" applyNumberFormat="1" applyFont="1" applyFill="1" applyBorder="1" applyAlignment="1" applyProtection="1">
      <alignment horizontal="center"/>
      <protection/>
    </xf>
    <xf numFmtId="14" fontId="1" fillId="0" borderId="97" xfId="0" applyNumberFormat="1" applyFont="1" applyBorder="1" applyAlignment="1" applyProtection="1">
      <alignment horizontal="right"/>
      <protection/>
    </xf>
    <xf numFmtId="0" fontId="1" fillId="0" borderId="129" xfId="0" applyFont="1" applyBorder="1" applyAlignment="1" applyProtection="1">
      <alignment horizontal="right"/>
      <protection/>
    </xf>
    <xf numFmtId="0" fontId="1" fillId="0" borderId="28" xfId="0" applyNumberFormat="1" applyFont="1" applyBorder="1" applyAlignment="1" applyProtection="1">
      <alignment horizontal="left"/>
      <protection/>
    </xf>
    <xf numFmtId="205" fontId="1" fillId="10" borderId="18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49" fontId="1" fillId="0" borderId="80" xfId="0" applyNumberFormat="1" applyFont="1" applyBorder="1" applyAlignment="1" applyProtection="1">
      <alignment horizontal="right"/>
      <protection/>
    </xf>
    <xf numFmtId="0" fontId="1" fillId="0" borderId="51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28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41" xfId="0" applyFont="1" applyBorder="1" applyAlignment="1">
      <alignment horizontal="right" vertical="center"/>
    </xf>
    <xf numFmtId="0" fontId="1" fillId="0" borderId="4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3" fontId="1" fillId="10" borderId="42" xfId="0" applyNumberFormat="1" applyFont="1" applyFill="1" applyBorder="1" applyAlignment="1" applyProtection="1">
      <alignment horizontal="center" vertical="center"/>
      <protection/>
    </xf>
    <xf numFmtId="0" fontId="1" fillId="0" borderId="13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20" fillId="0" borderId="2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0" fillId="26" borderId="77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vertical="center"/>
    </xf>
    <xf numFmtId="0" fontId="10" fillId="26" borderId="127" xfId="0" applyFont="1" applyFill="1" applyBorder="1" applyAlignment="1" applyProtection="1">
      <alignment horizontal="center" vertical="center"/>
      <protection locked="0"/>
    </xf>
    <xf numFmtId="0" fontId="10" fillId="26" borderId="104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right" vertical="center"/>
    </xf>
    <xf numFmtId="0" fontId="1" fillId="25" borderId="131" xfId="0" applyFont="1" applyFill="1" applyBorder="1" applyAlignment="1">
      <alignment horizontal="center" vertical="center"/>
    </xf>
    <xf numFmtId="0" fontId="1" fillId="25" borderId="132" xfId="0" applyFont="1" applyFill="1" applyBorder="1" applyAlignment="1">
      <alignment horizontal="center" vertical="center"/>
    </xf>
    <xf numFmtId="0" fontId="9" fillId="0" borderId="51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2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1" xfId="0" applyBorder="1" applyAlignment="1">
      <alignment vertical="center"/>
    </xf>
    <xf numFmtId="0" fontId="40" fillId="0" borderId="27" xfId="0" applyFont="1" applyBorder="1" applyAlignment="1">
      <alignment vertical="center"/>
    </xf>
    <xf numFmtId="0" fontId="0" fillId="0" borderId="10" xfId="0" applyBorder="1" applyAlignment="1">
      <alignment horizontal="left"/>
    </xf>
    <xf numFmtId="49" fontId="1" fillId="0" borderId="27" xfId="0" applyNumberFormat="1" applyFont="1" applyFill="1" applyBorder="1" applyAlignment="1" applyProtection="1">
      <alignment/>
      <protection/>
    </xf>
    <xf numFmtId="0" fontId="21" fillId="0" borderId="2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41" fillId="0" borderId="57" xfId="0" applyFont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right"/>
      <protection/>
    </xf>
    <xf numFmtId="0" fontId="20" fillId="0" borderId="38" xfId="0" applyFont="1" applyFill="1" applyBorder="1" applyAlignment="1" applyProtection="1">
      <alignment/>
      <protection/>
    </xf>
    <xf numFmtId="0" fontId="1" fillId="0" borderId="38" xfId="0" applyFont="1" applyBorder="1" applyAlignment="1">
      <alignment/>
    </xf>
    <xf numFmtId="0" fontId="40" fillId="0" borderId="38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2" fontId="1" fillId="0" borderId="12" xfId="0" applyNumberFormat="1" applyFont="1" applyFill="1" applyBorder="1" applyAlignment="1" applyProtection="1">
      <alignment/>
      <protection/>
    </xf>
    <xf numFmtId="205" fontId="1" fillId="10" borderId="84" xfId="0" applyNumberFormat="1" applyFont="1" applyFill="1" applyBorder="1" applyAlignment="1" applyProtection="1">
      <alignment horizontal="center"/>
      <protection/>
    </xf>
    <xf numFmtId="2" fontId="14" fillId="0" borderId="15" xfId="0" applyNumberFormat="1" applyFont="1" applyFill="1" applyBorder="1" applyAlignment="1" applyProtection="1">
      <alignment horizontal="center"/>
      <protection/>
    </xf>
    <xf numFmtId="11" fontId="1" fillId="0" borderId="28" xfId="0" applyNumberFormat="1" applyFont="1" applyFill="1" applyBorder="1" applyAlignment="1" applyProtection="1">
      <alignment horizontal="center"/>
      <protection/>
    </xf>
    <xf numFmtId="205" fontId="1" fillId="0" borderId="28" xfId="0" applyNumberFormat="1" applyFont="1" applyFill="1" applyBorder="1" applyAlignment="1" applyProtection="1">
      <alignment horizontal="center"/>
      <protection/>
    </xf>
    <xf numFmtId="2" fontId="14" fillId="0" borderId="57" xfId="0" applyNumberFormat="1" applyFont="1" applyFill="1" applyBorder="1" applyAlignment="1" applyProtection="1">
      <alignment horizontal="center"/>
      <protection/>
    </xf>
    <xf numFmtId="49" fontId="7" fillId="10" borderId="45" xfId="0" applyNumberFormat="1" applyFont="1" applyFill="1" applyBorder="1" applyAlignment="1" applyProtection="1">
      <alignment horizontal="right" vertical="center"/>
      <protection/>
    </xf>
    <xf numFmtId="49" fontId="7" fillId="10" borderId="62" xfId="0" applyNumberFormat="1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right"/>
      <protection/>
    </xf>
    <xf numFmtId="0" fontId="7" fillId="0" borderId="27" xfId="0" applyFont="1" applyBorder="1" applyAlignment="1" applyProtection="1">
      <alignment horizontal="center"/>
      <protection/>
    </xf>
    <xf numFmtId="0" fontId="7" fillId="0" borderId="46" xfId="0" applyFont="1" applyBorder="1" applyAlignment="1" applyProtection="1">
      <alignment/>
      <protection/>
    </xf>
    <xf numFmtId="0" fontId="7" fillId="0" borderId="44" xfId="0" applyFont="1" applyBorder="1" applyAlignment="1" applyProtection="1">
      <alignment/>
      <protection/>
    </xf>
    <xf numFmtId="0" fontId="1" fillId="0" borderId="10" xfId="0" applyFont="1" applyBorder="1" applyAlignment="1">
      <alignment horizontal="right" vertical="center"/>
    </xf>
    <xf numFmtId="2" fontId="1" fillId="0" borderId="80" xfId="0" applyNumberFormat="1" applyFont="1" applyBorder="1" applyAlignment="1" applyProtection="1">
      <alignment horizontal="right"/>
      <protection/>
    </xf>
    <xf numFmtId="0" fontId="7" fillId="0" borderId="29" xfId="0" applyFont="1" applyBorder="1" applyAlignment="1" applyProtection="1">
      <alignment horizontal="center"/>
      <protection/>
    </xf>
    <xf numFmtId="0" fontId="0" fillId="0" borderId="79" xfId="0" applyBorder="1" applyAlignment="1">
      <alignment/>
    </xf>
    <xf numFmtId="0" fontId="1" fillId="0" borderId="133" xfId="0" applyFont="1" applyBorder="1" applyAlignment="1" applyProtection="1">
      <alignment horizontal="center"/>
      <protection/>
    </xf>
    <xf numFmtId="3" fontId="1" fillId="0" borderId="134" xfId="0" applyNumberFormat="1" applyFont="1" applyBorder="1" applyAlignment="1" applyProtection="1">
      <alignment horizontal="center"/>
      <protection/>
    </xf>
    <xf numFmtId="3" fontId="1" fillId="0" borderId="17" xfId="0" applyNumberFormat="1" applyFont="1" applyBorder="1" applyAlignment="1" applyProtection="1">
      <alignment horizontal="center"/>
      <protection/>
    </xf>
    <xf numFmtId="3" fontId="10" fillId="26" borderId="127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3" fontId="10" fillId="26" borderId="116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left"/>
      <protection/>
    </xf>
    <xf numFmtId="2" fontId="1" fillId="0" borderId="81" xfId="0" applyNumberFormat="1" applyFont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right"/>
      <protection/>
    </xf>
    <xf numFmtId="2" fontId="1" fillId="0" borderId="24" xfId="0" applyNumberFormat="1" applyFont="1" applyBorder="1" applyAlignment="1" applyProtection="1">
      <alignment horizontal="right"/>
      <protection/>
    </xf>
    <xf numFmtId="0" fontId="1" fillId="0" borderId="82" xfId="0" applyFont="1" applyBorder="1" applyAlignment="1">
      <alignment/>
    </xf>
    <xf numFmtId="0" fontId="0" fillId="0" borderId="80" xfId="0" applyBorder="1" applyAlignment="1">
      <alignment/>
    </xf>
    <xf numFmtId="0" fontId="36" fillId="0" borderId="27" xfId="0" applyFont="1" applyBorder="1" applyAlignment="1" applyProtection="1">
      <alignment horizontal="left"/>
      <protection/>
    </xf>
    <xf numFmtId="210" fontId="1" fillId="0" borderId="27" xfId="0" applyNumberFormat="1" applyFont="1" applyBorder="1" applyAlignment="1" applyProtection="1">
      <alignment horizontal="left"/>
      <protection/>
    </xf>
    <xf numFmtId="0" fontId="47" fillId="17" borderId="25" xfId="0" applyFont="1" applyFill="1" applyBorder="1" applyAlignment="1">
      <alignment horizontal="center"/>
    </xf>
    <xf numFmtId="0" fontId="47" fillId="17" borderId="26" xfId="0" applyFont="1" applyFill="1" applyBorder="1" applyAlignment="1">
      <alignment horizontal="center"/>
    </xf>
    <xf numFmtId="0" fontId="3" fillId="17" borderId="19" xfId="0" applyFont="1" applyFill="1" applyBorder="1" applyAlignment="1" applyProtection="1">
      <alignment/>
      <protection/>
    </xf>
    <xf numFmtId="0" fontId="6" fillId="25" borderId="133" xfId="0" applyFont="1" applyFill="1" applyBorder="1" applyAlignment="1" applyProtection="1">
      <alignment horizontal="center" vertical="top" wrapText="1"/>
      <protection/>
    </xf>
    <xf numFmtId="0" fontId="2" fillId="27" borderId="135" xfId="0" applyFont="1" applyFill="1" applyBorder="1" applyAlignment="1" applyProtection="1">
      <alignment horizontal="center" vertical="top" wrapText="1"/>
      <protection locked="0"/>
    </xf>
    <xf numFmtId="0" fontId="2" fillId="27" borderId="101" xfId="0" applyFont="1" applyFill="1" applyBorder="1" applyAlignment="1" applyProtection="1">
      <alignment horizontal="center" vertical="top" wrapText="1"/>
      <protection locked="0"/>
    </xf>
    <xf numFmtId="0" fontId="1" fillId="0" borderId="122" xfId="0" applyFont="1" applyBorder="1" applyAlignment="1" applyProtection="1">
      <alignment horizontal="center" vertical="center"/>
      <protection/>
    </xf>
    <xf numFmtId="3" fontId="1" fillId="0" borderId="122" xfId="0" applyNumberFormat="1" applyFont="1" applyBorder="1" applyAlignment="1" applyProtection="1">
      <alignment horizontal="center" vertical="center"/>
      <protection/>
    </xf>
    <xf numFmtId="3" fontId="1" fillId="0" borderId="23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25" borderId="1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1" fillId="0" borderId="136" xfId="0" applyFont="1" applyBorder="1" applyAlignment="1" applyProtection="1">
      <alignment horizontal="center" vertical="top" wrapText="1"/>
      <protection/>
    </xf>
    <xf numFmtId="212" fontId="1" fillId="0" borderId="10" xfId="0" applyNumberFormat="1" applyFont="1" applyFill="1" applyBorder="1" applyAlignment="1" applyProtection="1">
      <alignment horizontal="center"/>
      <protection/>
    </xf>
    <xf numFmtId="0" fontId="1" fillId="26" borderId="51" xfId="0" applyFont="1" applyFill="1" applyBorder="1" applyAlignment="1" applyProtection="1" quotePrefix="1">
      <alignment/>
      <protection locked="0"/>
    </xf>
    <xf numFmtId="2" fontId="1" fillId="26" borderId="28" xfId="0" applyNumberFormat="1" applyFont="1" applyFill="1" applyBorder="1" applyAlignment="1" applyProtection="1">
      <alignment horizontal="center"/>
      <protection locked="0"/>
    </xf>
    <xf numFmtId="205" fontId="1" fillId="26" borderId="28" xfId="0" applyNumberFormat="1" applyFont="1" applyFill="1" applyBorder="1" applyAlignment="1" applyProtection="1">
      <alignment horizontal="center"/>
      <protection locked="0"/>
    </xf>
    <xf numFmtId="212" fontId="1" fillId="26" borderId="57" xfId="0" applyNumberFormat="1" applyFont="1" applyFill="1" applyBorder="1" applyAlignment="1" applyProtection="1">
      <alignment horizontal="center"/>
      <protection locked="0"/>
    </xf>
    <xf numFmtId="0" fontId="1" fillId="26" borderId="27" xfId="0" applyFont="1" applyFill="1" applyBorder="1" applyAlignment="1" applyProtection="1" quotePrefix="1">
      <alignment/>
      <protection locked="0"/>
    </xf>
    <xf numFmtId="2" fontId="1" fillId="26" borderId="0" xfId="0" applyNumberFormat="1" applyFont="1" applyFill="1" applyBorder="1" applyAlignment="1" applyProtection="1">
      <alignment horizontal="center"/>
      <protection locked="0"/>
    </xf>
    <xf numFmtId="205" fontId="1" fillId="26" borderId="0" xfId="0" applyNumberFormat="1" applyFont="1" applyFill="1" applyBorder="1" applyAlignment="1" applyProtection="1">
      <alignment horizontal="center"/>
      <protection locked="0"/>
    </xf>
    <xf numFmtId="212" fontId="1" fillId="26" borderId="10" xfId="0" applyNumberFormat="1" applyFont="1" applyFill="1" applyBorder="1" applyAlignment="1" applyProtection="1">
      <alignment horizontal="center"/>
      <protection locked="0"/>
    </xf>
    <xf numFmtId="0" fontId="1" fillId="26" borderId="29" xfId="0" applyFont="1" applyFill="1" applyBorder="1" applyAlignment="1" applyProtection="1" quotePrefix="1">
      <alignment/>
      <protection locked="0"/>
    </xf>
    <xf numFmtId="2" fontId="1" fillId="26" borderId="12" xfId="0" applyNumberFormat="1" applyFont="1" applyFill="1" applyBorder="1" applyAlignment="1" applyProtection="1">
      <alignment horizontal="center"/>
      <protection locked="0"/>
    </xf>
    <xf numFmtId="205" fontId="1" fillId="26" borderId="12" xfId="0" applyNumberFormat="1" applyFont="1" applyFill="1" applyBorder="1" applyAlignment="1" applyProtection="1">
      <alignment horizontal="center"/>
      <protection locked="0"/>
    </xf>
    <xf numFmtId="212" fontId="1" fillId="26" borderId="15" xfId="0" applyNumberFormat="1" applyFont="1" applyFill="1" applyBorder="1" applyAlignment="1" applyProtection="1">
      <alignment horizontal="center"/>
      <protection locked="0"/>
    </xf>
    <xf numFmtId="205" fontId="1" fillId="10" borderId="42" xfId="0" applyNumberFormat="1" applyFont="1" applyFill="1" applyBorder="1" applyAlignment="1" applyProtection="1">
      <alignment horizontal="center" vertical="center"/>
      <protection/>
    </xf>
    <xf numFmtId="0" fontId="2" fillId="26" borderId="133" xfId="0" applyFont="1" applyFill="1" applyBorder="1" applyAlignment="1" applyProtection="1">
      <alignment horizontal="center" vertical="center"/>
      <protection locked="0"/>
    </xf>
    <xf numFmtId="3" fontId="2" fillId="27" borderId="137" xfId="0" applyNumberFormat="1" applyFont="1" applyFill="1" applyBorder="1" applyAlignment="1" applyProtection="1">
      <alignment horizontal="center" vertical="center"/>
      <protection locked="0"/>
    </xf>
    <xf numFmtId="3" fontId="2" fillId="27" borderId="7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3" fontId="2" fillId="27" borderId="138" xfId="0" applyNumberFormat="1" applyFont="1" applyFill="1" applyBorder="1" applyAlignment="1" applyProtection="1">
      <alignment horizontal="center" vertical="center"/>
      <protection locked="0"/>
    </xf>
    <xf numFmtId="3" fontId="2" fillId="27" borderId="115" xfId="0" applyNumberFormat="1" applyFont="1" applyFill="1" applyBorder="1" applyAlignment="1" applyProtection="1">
      <alignment horizontal="center" vertical="center"/>
      <protection locked="0"/>
    </xf>
    <xf numFmtId="0" fontId="1" fillId="25" borderId="109" xfId="0" applyFont="1" applyFill="1" applyBorder="1" applyAlignment="1" applyProtection="1">
      <alignment horizontal="left" vertical="center"/>
      <protection/>
    </xf>
    <xf numFmtId="0" fontId="0" fillId="0" borderId="61" xfId="0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211" fontId="1" fillId="10" borderId="23" xfId="0" applyNumberFormat="1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" fillId="25" borderId="59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109" xfId="0" applyFont="1" applyBorder="1" applyAlignment="1" applyProtection="1">
      <alignment horizontal="center" vertical="center"/>
      <protection/>
    </xf>
    <xf numFmtId="211" fontId="1" fillId="10" borderId="1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1" fillId="0" borderId="27" xfId="0" applyFont="1" applyBorder="1" applyAlignment="1" applyProtection="1">
      <alignment horizontal="right" vertical="center"/>
      <protection/>
    </xf>
    <xf numFmtId="49" fontId="4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205" fontId="1" fillId="10" borderId="99" xfId="0" applyNumberFormat="1" applyFont="1" applyFill="1" applyBorder="1" applyAlignment="1" applyProtection="1">
      <alignment horizontal="center" vertical="center"/>
      <protection/>
    </xf>
    <xf numFmtId="212" fontId="1" fillId="10" borderId="100" xfId="0" applyNumberFormat="1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right" vertical="center"/>
      <protection/>
    </xf>
    <xf numFmtId="212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7" fillId="0" borderId="27" xfId="0" applyFont="1" applyFill="1" applyBorder="1" applyAlignment="1" applyProtection="1">
      <alignment horizontal="right" vertical="center"/>
      <protection/>
    </xf>
    <xf numFmtId="2" fontId="1" fillId="10" borderId="127" xfId="0" applyNumberFormat="1" applyFont="1" applyFill="1" applyBorder="1" applyAlignment="1" applyProtection="1">
      <alignment horizontal="center" vertical="center"/>
      <protection/>
    </xf>
    <xf numFmtId="2" fontId="1" fillId="10" borderId="104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 quotePrefix="1">
      <alignment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139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2" fontId="1" fillId="10" borderId="51" xfId="0" applyNumberFormat="1" applyFont="1" applyFill="1" applyBorder="1" applyAlignment="1" applyProtection="1">
      <alignment horizontal="center" vertical="center"/>
      <protection/>
    </xf>
    <xf numFmtId="2" fontId="1" fillId="10" borderId="139" xfId="0" applyNumberFormat="1" applyFont="1" applyFill="1" applyBorder="1" applyAlignment="1" applyProtection="1">
      <alignment horizontal="center" vertical="center"/>
      <protection/>
    </xf>
    <xf numFmtId="2" fontId="1" fillId="10" borderId="28" xfId="0" applyNumberFormat="1" applyFont="1" applyFill="1" applyBorder="1" applyAlignment="1" applyProtection="1">
      <alignment horizontal="center" vertical="center"/>
      <protection/>
    </xf>
    <xf numFmtId="2" fontId="1" fillId="10" borderId="29" xfId="0" applyNumberFormat="1" applyFont="1" applyFill="1" applyBorder="1" applyAlignment="1" applyProtection="1">
      <alignment horizontal="center" vertical="center"/>
      <protection/>
    </xf>
    <xf numFmtId="2" fontId="1" fillId="10" borderId="140" xfId="0" applyNumberFormat="1" applyFont="1" applyFill="1" applyBorder="1" applyAlignment="1" applyProtection="1">
      <alignment horizontal="center" vertical="center"/>
      <protection/>
    </xf>
    <xf numFmtId="2" fontId="1" fillId="10" borderId="12" xfId="0" applyNumberFormat="1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 quotePrefix="1">
      <alignment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5" xfId="0" applyFont="1" applyBorder="1" applyAlignment="1" applyProtection="1">
      <alignment horizontal="center" vertical="center"/>
      <protection/>
    </xf>
    <xf numFmtId="213" fontId="1" fillId="10" borderId="11" xfId="0" applyNumberFormat="1" applyFont="1" applyFill="1" applyBorder="1" applyAlignment="1" applyProtection="1">
      <alignment horizontal="center" vertical="center"/>
      <protection/>
    </xf>
    <xf numFmtId="213" fontId="1" fillId="10" borderId="141" xfId="0" applyNumberFormat="1" applyFont="1" applyFill="1" applyBorder="1" applyAlignment="1" applyProtection="1">
      <alignment horizontal="center" vertical="center"/>
      <protection/>
    </xf>
    <xf numFmtId="2" fontId="1" fillId="10" borderId="142" xfId="0" applyNumberFormat="1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213" fontId="1" fillId="0" borderId="56" xfId="0" applyNumberFormat="1" applyFont="1" applyFill="1" applyBorder="1" applyAlignment="1" applyProtection="1">
      <alignment horizontal="center" vertical="center"/>
      <protection/>
    </xf>
    <xf numFmtId="213" fontId="1" fillId="0" borderId="143" xfId="0" applyNumberFormat="1" applyFont="1" applyFill="1" applyBorder="1" applyAlignment="1" applyProtection="1">
      <alignment horizontal="right" vertical="center"/>
      <protection/>
    </xf>
    <xf numFmtId="2" fontId="1" fillId="10" borderId="144" xfId="0" applyNumberFormat="1" applyFont="1" applyFill="1" applyBorder="1" applyAlignment="1" applyProtection="1">
      <alignment horizontal="center" vertical="center"/>
      <protection/>
    </xf>
    <xf numFmtId="213" fontId="1" fillId="10" borderId="86" xfId="0" applyNumberFormat="1" applyFont="1" applyFill="1" applyBorder="1" applyAlignment="1" applyProtection="1">
      <alignment horizontal="center" vertical="center"/>
      <protection/>
    </xf>
    <xf numFmtId="213" fontId="1" fillId="10" borderId="145" xfId="0" applyNumberFormat="1" applyFont="1" applyFill="1" applyBorder="1" applyAlignment="1" applyProtection="1">
      <alignment horizontal="center" vertical="center"/>
      <protection/>
    </xf>
    <xf numFmtId="2" fontId="1" fillId="10" borderId="146" xfId="0" applyNumberFormat="1" applyFont="1" applyFill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213" fontId="1" fillId="0" borderId="33" xfId="0" applyNumberFormat="1" applyFont="1" applyFill="1" applyBorder="1" applyAlignment="1" applyProtection="1">
      <alignment horizontal="center" vertical="center"/>
      <protection/>
    </xf>
    <xf numFmtId="213" fontId="1" fillId="0" borderId="147" xfId="0" applyNumberFormat="1" applyFont="1" applyFill="1" applyBorder="1" applyAlignment="1" applyProtection="1">
      <alignment horizontal="right" vertical="center"/>
      <protection/>
    </xf>
    <xf numFmtId="2" fontId="1" fillId="10" borderId="148" xfId="0" applyNumberFormat="1" applyFont="1" applyFill="1" applyBorder="1" applyAlignment="1" applyProtection="1">
      <alignment horizontal="center" vertical="center"/>
      <protection/>
    </xf>
    <xf numFmtId="2" fontId="1" fillId="10" borderId="65" xfId="0" applyNumberFormat="1" applyFont="1" applyFill="1" applyBorder="1" applyAlignment="1" applyProtection="1">
      <alignment horizontal="center" vertical="center"/>
      <protection/>
    </xf>
    <xf numFmtId="2" fontId="1" fillId="10" borderId="149" xfId="0" applyNumberFormat="1" applyFont="1" applyFill="1" applyBorder="1" applyAlignment="1" applyProtection="1">
      <alignment horizontal="center" vertical="center"/>
      <protection/>
    </xf>
    <xf numFmtId="2" fontId="1" fillId="10" borderId="150" xfId="0" applyNumberFormat="1" applyFont="1" applyFill="1" applyBorder="1" applyAlignment="1" applyProtection="1">
      <alignment horizontal="center" vertical="center"/>
      <protection/>
    </xf>
    <xf numFmtId="2" fontId="1" fillId="10" borderId="125" xfId="0" applyNumberFormat="1" applyFont="1" applyFill="1" applyBorder="1" applyAlignment="1" applyProtection="1">
      <alignment horizontal="center" vertical="center"/>
      <protection/>
    </xf>
    <xf numFmtId="2" fontId="1" fillId="10" borderId="151" xfId="0" applyNumberFormat="1" applyFont="1" applyFill="1" applyBorder="1" applyAlignment="1" applyProtection="1">
      <alignment horizontal="center" vertical="center"/>
      <protection/>
    </xf>
    <xf numFmtId="2" fontId="1" fillId="10" borderId="112" xfId="0" applyNumberFormat="1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0" borderId="152" xfId="0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left" vertical="center"/>
      <protection/>
    </xf>
    <xf numFmtId="0" fontId="0" fillId="0" borderId="57" xfId="0" applyBorder="1" applyAlignment="1">
      <alignment vertical="center"/>
    </xf>
    <xf numFmtId="2" fontId="1" fillId="10" borderId="152" xfId="0" applyNumberFormat="1" applyFont="1" applyFill="1" applyBorder="1" applyAlignment="1" applyProtection="1">
      <alignment horizontal="center" vertical="center"/>
      <protection/>
    </xf>
    <xf numFmtId="205" fontId="1" fillId="10" borderId="153" xfId="0" applyNumberFormat="1" applyFont="1" applyFill="1" applyBorder="1" applyAlignment="1" applyProtection="1">
      <alignment horizontal="center" vertical="center"/>
      <protection/>
    </xf>
    <xf numFmtId="2" fontId="1" fillId="10" borderId="154" xfId="0" applyNumberFormat="1" applyFont="1" applyFill="1" applyBorder="1" applyAlignment="1" applyProtection="1">
      <alignment horizontal="center" vertical="center"/>
      <protection/>
    </xf>
    <xf numFmtId="205" fontId="1" fillId="10" borderId="155" xfId="0" applyNumberFormat="1" applyFont="1" applyFill="1" applyBorder="1" applyAlignment="1" applyProtection="1">
      <alignment horizontal="center" vertical="center"/>
      <protection/>
    </xf>
    <xf numFmtId="2" fontId="1" fillId="10" borderId="156" xfId="0" applyNumberFormat="1" applyFont="1" applyFill="1" applyBorder="1" applyAlignment="1" applyProtection="1">
      <alignment horizontal="center" vertical="center"/>
      <protection/>
    </xf>
    <xf numFmtId="205" fontId="1" fillId="10" borderId="157" xfId="0" applyNumberFormat="1" applyFont="1" applyFill="1" applyBorder="1" applyAlignment="1" applyProtection="1">
      <alignment horizontal="center" vertical="center"/>
      <protection/>
    </xf>
    <xf numFmtId="2" fontId="1" fillId="10" borderId="158" xfId="0" applyNumberFormat="1" applyFont="1" applyFill="1" applyBorder="1" applyAlignment="1" applyProtection="1">
      <alignment horizontal="center" vertical="center"/>
      <protection/>
    </xf>
    <xf numFmtId="205" fontId="1" fillId="10" borderId="159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160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0" fontId="1" fillId="0" borderId="161" xfId="0" applyFont="1" applyBorder="1" applyAlignment="1" applyProtection="1">
      <alignment horizontal="center" vertical="center"/>
      <protection/>
    </xf>
    <xf numFmtId="3" fontId="1" fillId="0" borderId="162" xfId="0" applyNumberFormat="1" applyFont="1" applyBorder="1" applyAlignment="1" applyProtection="1">
      <alignment horizontal="center" vertical="center"/>
      <protection/>
    </xf>
    <xf numFmtId="3" fontId="1" fillId="0" borderId="67" xfId="0" applyNumberFormat="1" applyFont="1" applyBorder="1" applyAlignment="1" applyProtection="1">
      <alignment horizontal="center" vertical="center"/>
      <protection/>
    </xf>
    <xf numFmtId="3" fontId="1" fillId="0" borderId="60" xfId="0" applyNumberFormat="1" applyFont="1" applyBorder="1" applyAlignment="1" applyProtection="1">
      <alignment horizontal="center" vertical="center"/>
      <protection/>
    </xf>
    <xf numFmtId="0" fontId="1" fillId="25" borderId="163" xfId="0" applyFont="1" applyFill="1" applyBorder="1" applyAlignment="1" applyProtection="1">
      <alignment horizontal="center" vertical="top" wrapText="1"/>
      <protection/>
    </xf>
    <xf numFmtId="0" fontId="1" fillId="0" borderId="164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1" fillId="0" borderId="20" xfId="0" applyFont="1" applyBorder="1" applyAlignment="1" applyProtection="1">
      <alignment vertical="center"/>
      <protection/>
    </xf>
    <xf numFmtId="0" fontId="1" fillId="0" borderId="165" xfId="0" applyFont="1" applyBorder="1" applyAlignment="1" applyProtection="1">
      <alignment horizontal="center"/>
      <protection/>
    </xf>
    <xf numFmtId="3" fontId="1" fillId="0" borderId="166" xfId="0" applyNumberFormat="1" applyFont="1" applyBorder="1" applyAlignment="1" applyProtection="1">
      <alignment horizontal="center"/>
      <protection/>
    </xf>
    <xf numFmtId="3" fontId="1" fillId="0" borderId="167" xfId="0" applyNumberFormat="1" applyFont="1" applyBorder="1" applyAlignment="1" applyProtection="1">
      <alignment horizontal="center"/>
      <protection/>
    </xf>
    <xf numFmtId="3" fontId="1" fillId="0" borderId="168" xfId="0" applyNumberFormat="1" applyFont="1" applyBorder="1" applyAlignment="1" applyProtection="1">
      <alignment horizontal="center" vertical="center"/>
      <protection/>
    </xf>
    <xf numFmtId="0" fontId="0" fillId="0" borderId="169" xfId="0" applyBorder="1" applyAlignment="1" applyProtection="1" quotePrefix="1">
      <alignment/>
      <protection/>
    </xf>
    <xf numFmtId="0" fontId="0" fillId="0" borderId="170" xfId="0" applyBorder="1" applyAlignment="1" applyProtection="1">
      <alignment/>
      <protection/>
    </xf>
    <xf numFmtId="0" fontId="1" fillId="0" borderId="171" xfId="0" applyFont="1" applyBorder="1" applyAlignment="1" applyProtection="1">
      <alignment/>
      <protection/>
    </xf>
    <xf numFmtId="2" fontId="16" fillId="24" borderId="58" xfId="0" applyNumberFormat="1" applyFont="1" applyFill="1" applyBorder="1" applyAlignment="1" applyProtection="1">
      <alignment horizontal="center"/>
      <protection/>
    </xf>
    <xf numFmtId="0" fontId="7" fillId="0" borderId="57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36" fillId="0" borderId="106" xfId="0" applyFont="1" applyFill="1" applyBorder="1" applyAlignment="1" applyProtection="1">
      <alignment horizontal="right"/>
      <protection/>
    </xf>
    <xf numFmtId="0" fontId="1" fillId="0" borderId="106" xfId="0" applyFont="1" applyFill="1" applyBorder="1" applyAlignment="1" applyProtection="1">
      <alignment horizontal="right"/>
      <protection/>
    </xf>
    <xf numFmtId="0" fontId="0" fillId="17" borderId="25" xfId="0" applyFill="1" applyBorder="1" applyAlignment="1">
      <alignment horizontal="center" vertical="center"/>
    </xf>
    <xf numFmtId="0" fontId="0" fillId="17" borderId="26" xfId="0" applyFill="1" applyBorder="1" applyAlignment="1">
      <alignment horizontal="center" vertical="center"/>
    </xf>
    <xf numFmtId="0" fontId="24" fillId="17" borderId="19" xfId="0" applyFont="1" applyFill="1" applyBorder="1" applyAlignment="1">
      <alignment horizontal="left" vertical="center"/>
    </xf>
    <xf numFmtId="0" fontId="36" fillId="0" borderId="172" xfId="0" applyFont="1" applyFill="1" applyBorder="1" applyAlignment="1" applyProtection="1">
      <alignment horizontal="right"/>
      <protection/>
    </xf>
    <xf numFmtId="0" fontId="1" fillId="0" borderId="172" xfId="0" applyFont="1" applyFill="1" applyBorder="1" applyAlignment="1" applyProtection="1">
      <alignment/>
      <protection/>
    </xf>
    <xf numFmtId="0" fontId="0" fillId="24" borderId="16" xfId="0" applyFill="1" applyBorder="1" applyAlignment="1">
      <alignment horizontal="center"/>
    </xf>
    <xf numFmtId="0" fontId="16" fillId="24" borderId="58" xfId="0" applyFont="1" applyFill="1" applyBorder="1" applyAlignment="1" applyProtection="1">
      <alignment horizontal="left"/>
      <protection/>
    </xf>
    <xf numFmtId="1" fontId="1" fillId="10" borderId="173" xfId="0" applyNumberFormat="1" applyFont="1" applyFill="1" applyBorder="1" applyAlignment="1" applyProtection="1">
      <alignment horizontal="center"/>
      <protection/>
    </xf>
    <xf numFmtId="1" fontId="1" fillId="10" borderId="174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205" fontId="1" fillId="10" borderId="127" xfId="0" applyNumberFormat="1" applyFont="1" applyFill="1" applyBorder="1" applyAlignment="1" applyProtection="1">
      <alignment/>
      <protection/>
    </xf>
    <xf numFmtId="205" fontId="1" fillId="10" borderId="103" xfId="0" applyNumberFormat="1" applyFont="1" applyFill="1" applyBorder="1" applyAlignment="1" applyProtection="1">
      <alignment horizontal="center"/>
      <protection/>
    </xf>
    <xf numFmtId="205" fontId="1" fillId="10" borderId="104" xfId="0" applyNumberFormat="1" applyFont="1" applyFill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/>
      <protection/>
    </xf>
    <xf numFmtId="205" fontId="1" fillId="10" borderId="127" xfId="0" applyNumberFormat="1" applyFont="1" applyFill="1" applyBorder="1" applyAlignment="1" applyProtection="1">
      <alignment horizontal="center"/>
      <protection/>
    </xf>
    <xf numFmtId="2" fontId="1" fillId="10" borderId="104" xfId="0" applyNumberFormat="1" applyFont="1" applyFill="1" applyBorder="1" applyAlignment="1" applyProtection="1">
      <alignment horizontal="center"/>
      <protection/>
    </xf>
    <xf numFmtId="49" fontId="1" fillId="0" borderId="24" xfId="0" applyNumberFormat="1" applyFont="1" applyBorder="1" applyAlignment="1" applyProtection="1">
      <alignment/>
      <protection/>
    </xf>
    <xf numFmtId="0" fontId="1" fillId="0" borderId="24" xfId="0" applyFont="1" applyBorder="1" applyAlignment="1" applyProtection="1">
      <alignment horizontal="right"/>
      <protection/>
    </xf>
    <xf numFmtId="0" fontId="10" fillId="26" borderId="175" xfId="0" applyNumberFormat="1" applyFont="1" applyFill="1" applyBorder="1" applyAlignment="1" applyProtection="1">
      <alignment horizontal="center"/>
      <protection locked="0"/>
    </xf>
    <xf numFmtId="0" fontId="10" fillId="26" borderId="176" xfId="0" applyFont="1" applyFill="1" applyBorder="1" applyAlignment="1" applyProtection="1">
      <alignment horizontal="center"/>
      <protection locked="0"/>
    </xf>
    <xf numFmtId="0" fontId="10" fillId="26" borderId="62" xfId="0" applyNumberFormat="1" applyFont="1" applyFill="1" applyBorder="1" applyAlignment="1" applyProtection="1">
      <alignment horizontal="center"/>
      <protection locked="0"/>
    </xf>
    <xf numFmtId="0" fontId="10" fillId="26" borderId="114" xfId="0" applyFont="1" applyFill="1" applyBorder="1" applyAlignment="1" applyProtection="1">
      <alignment horizontal="center"/>
      <protection locked="0"/>
    </xf>
    <xf numFmtId="0" fontId="10" fillId="26" borderId="17" xfId="0" applyNumberFormat="1" applyFont="1" applyFill="1" applyBorder="1" applyAlignment="1" applyProtection="1">
      <alignment horizontal="center"/>
      <protection locked="0"/>
    </xf>
    <xf numFmtId="0" fontId="10" fillId="26" borderId="114" xfId="0" applyNumberFormat="1" applyFont="1" applyFill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/>
      <protection/>
    </xf>
    <xf numFmtId="0" fontId="1" fillId="0" borderId="37" xfId="0" applyFont="1" applyFill="1" applyBorder="1" applyAlignment="1" applyProtection="1">
      <alignment/>
      <protection/>
    </xf>
    <xf numFmtId="205" fontId="10" fillId="10" borderId="54" xfId="0" applyNumberFormat="1" applyFont="1" applyFill="1" applyBorder="1" applyAlignment="1" applyProtection="1">
      <alignment horizontal="center"/>
      <protection/>
    </xf>
    <xf numFmtId="205" fontId="10" fillId="10" borderId="114" xfId="0" applyNumberFormat="1" applyFont="1" applyFill="1" applyBorder="1" applyAlignment="1" applyProtection="1">
      <alignment horizontal="center"/>
      <protection/>
    </xf>
    <xf numFmtId="205" fontId="10" fillId="10" borderId="111" xfId="0" applyNumberFormat="1" applyFont="1" applyFill="1" applyBorder="1" applyAlignment="1" applyProtection="1">
      <alignment horizontal="center"/>
      <protection/>
    </xf>
    <xf numFmtId="0" fontId="25" fillId="0" borderId="0" xfId="0" applyFont="1" applyBorder="1" applyAlignment="1">
      <alignment/>
    </xf>
    <xf numFmtId="49" fontId="11" fillId="0" borderId="27" xfId="0" applyNumberFormat="1" applyFont="1" applyBorder="1" applyAlignment="1" applyProtection="1">
      <alignment/>
      <protection/>
    </xf>
    <xf numFmtId="0" fontId="11" fillId="0" borderId="79" xfId="0" applyFont="1" applyBorder="1" applyAlignment="1">
      <alignment/>
    </xf>
    <xf numFmtId="205" fontId="1" fillId="10" borderId="177" xfId="0" applyNumberFormat="1" applyFont="1" applyFill="1" applyBorder="1" applyAlignment="1" applyProtection="1">
      <alignment horizontal="center"/>
      <protection/>
    </xf>
    <xf numFmtId="0" fontId="0" fillId="0" borderId="81" xfId="0" applyBorder="1" applyAlignment="1">
      <alignment/>
    </xf>
    <xf numFmtId="0" fontId="21" fillId="0" borderId="0" xfId="0" applyFont="1" applyFill="1" applyBorder="1" applyAlignment="1">
      <alignment horizontal="left"/>
    </xf>
    <xf numFmtId="0" fontId="22" fillId="0" borderId="39" xfId="0" applyFont="1" applyBorder="1" applyAlignment="1">
      <alignment/>
    </xf>
    <xf numFmtId="0" fontId="31" fillId="0" borderId="33" xfId="0" applyFont="1" applyFill="1" applyBorder="1" applyAlignment="1" applyProtection="1">
      <alignment horizontal="center"/>
      <protection/>
    </xf>
    <xf numFmtId="49" fontId="1" fillId="0" borderId="27" xfId="0" applyNumberFormat="1" applyFont="1" applyBorder="1" applyAlignment="1" applyProtection="1">
      <alignment horizontal="right" vertical="center" wrapText="1"/>
      <protection/>
    </xf>
    <xf numFmtId="0" fontId="0" fillId="0" borderId="3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204" fontId="1" fillId="0" borderId="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 vertical="center" wrapText="1"/>
    </xf>
    <xf numFmtId="220" fontId="1" fillId="10" borderId="127" xfId="0" applyNumberFormat="1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12" xfId="0" applyFont="1" applyFill="1" applyBorder="1" applyAlignment="1">
      <alignment/>
    </xf>
    <xf numFmtId="11" fontId="1" fillId="0" borderId="12" xfId="0" applyNumberFormat="1" applyFont="1" applyFill="1" applyBorder="1" applyAlignment="1" applyProtection="1">
      <alignment horizontal="center"/>
      <protection/>
    </xf>
    <xf numFmtId="204" fontId="1" fillId="0" borderId="12" xfId="0" applyNumberFormat="1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>
      <alignment/>
    </xf>
    <xf numFmtId="49" fontId="11" fillId="0" borderId="28" xfId="0" applyNumberFormat="1" applyFont="1" applyBorder="1" applyAlignment="1" applyProtection="1">
      <alignment/>
      <protection/>
    </xf>
    <xf numFmtId="204" fontId="1" fillId="0" borderId="28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1" fillId="21" borderId="20" xfId="0" applyNumberFormat="1" applyFont="1" applyFill="1" applyBorder="1" applyAlignment="1" applyProtection="1">
      <alignment horizontal="right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49" fontId="20" fillId="0" borderId="28" xfId="0" applyNumberFormat="1" applyFont="1" applyFill="1" applyBorder="1" applyAlignment="1" applyProtection="1">
      <alignment/>
      <protection/>
    </xf>
    <xf numFmtId="205" fontId="1" fillId="10" borderId="178" xfId="0" applyNumberFormat="1" applyFont="1" applyFill="1" applyBorder="1" applyAlignment="1" applyProtection="1">
      <alignment horizontal="center"/>
      <protection/>
    </xf>
    <xf numFmtId="205" fontId="1" fillId="0" borderId="12" xfId="0" applyNumberFormat="1" applyFont="1" applyFill="1" applyBorder="1" applyAlignment="1" applyProtection="1">
      <alignment horizontal="center"/>
      <protection/>
    </xf>
    <xf numFmtId="3" fontId="10" fillId="10" borderId="117" xfId="0" applyNumberFormat="1" applyFont="1" applyFill="1" applyBorder="1" applyAlignment="1" applyProtection="1">
      <alignment horizontal="center"/>
      <protection/>
    </xf>
    <xf numFmtId="3" fontId="10" fillId="10" borderId="121" xfId="0" applyNumberFormat="1" applyFont="1" applyFill="1" applyBorder="1" applyAlignment="1" applyProtection="1">
      <alignment horizontal="center"/>
      <protection/>
    </xf>
    <xf numFmtId="3" fontId="10" fillId="26" borderId="114" xfId="0" applyNumberFormat="1" applyFont="1" applyFill="1" applyBorder="1" applyAlignment="1" applyProtection="1">
      <alignment horizontal="center"/>
      <protection locked="0"/>
    </xf>
    <xf numFmtId="221" fontId="1" fillId="10" borderId="45" xfId="0" applyNumberFormat="1" applyFont="1" applyFill="1" applyBorder="1" applyAlignment="1" applyProtection="1">
      <alignment horizontal="center"/>
      <protection/>
    </xf>
    <xf numFmtId="221" fontId="1" fillId="10" borderId="179" xfId="0" applyNumberFormat="1" applyFont="1" applyFill="1" applyBorder="1" applyAlignment="1" applyProtection="1">
      <alignment horizontal="center"/>
      <protection/>
    </xf>
    <xf numFmtId="221" fontId="1" fillId="10" borderId="100" xfId="0" applyNumberFormat="1" applyFont="1" applyFill="1" applyBorder="1" applyAlignment="1" applyProtection="1">
      <alignment horizontal="center"/>
      <protection/>
    </xf>
    <xf numFmtId="221" fontId="1" fillId="10" borderId="118" xfId="0" applyNumberFormat="1" applyFont="1" applyFill="1" applyBorder="1" applyAlignment="1" applyProtection="1">
      <alignment horizontal="center"/>
      <protection/>
    </xf>
    <xf numFmtId="221" fontId="1" fillId="10" borderId="43" xfId="0" applyNumberFormat="1" applyFont="1" applyFill="1" applyBorder="1" applyAlignment="1" applyProtection="1">
      <alignment horizontal="center" vertical="center"/>
      <protection/>
    </xf>
    <xf numFmtId="221" fontId="1" fillId="10" borderId="57" xfId="0" applyNumberFormat="1" applyFont="1" applyFill="1" applyBorder="1" applyAlignment="1" applyProtection="1">
      <alignment horizontal="center" vertical="center"/>
      <protection/>
    </xf>
    <xf numFmtId="221" fontId="1" fillId="10" borderId="180" xfId="0" applyNumberFormat="1" applyFont="1" applyFill="1" applyBorder="1" applyAlignment="1" applyProtection="1">
      <alignment horizontal="center" vertical="center"/>
      <protection/>
    </xf>
    <xf numFmtId="221" fontId="1" fillId="10" borderId="181" xfId="0" applyNumberFormat="1" applyFont="1" applyFill="1" applyBorder="1" applyAlignment="1" applyProtection="1">
      <alignment horizontal="center" vertical="center"/>
      <protection/>
    </xf>
    <xf numFmtId="221" fontId="1" fillId="10" borderId="15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/>
      <protection/>
    </xf>
    <xf numFmtId="205" fontId="31" fillId="0" borderId="39" xfId="0" applyNumberFormat="1" applyFont="1" applyFill="1" applyBorder="1" applyAlignment="1" applyProtection="1">
      <alignment horizontal="center"/>
      <protection/>
    </xf>
    <xf numFmtId="0" fontId="9" fillId="0" borderId="68" xfId="0" applyFont="1" applyBorder="1" applyAlignment="1" applyProtection="1" quotePrefix="1">
      <alignment/>
      <protection/>
    </xf>
    <xf numFmtId="0" fontId="9" fillId="0" borderId="0" xfId="0" applyFont="1" applyAlignment="1">
      <alignment horizontal="left" vertical="center"/>
    </xf>
    <xf numFmtId="221" fontId="36" fillId="10" borderId="100" xfId="0" applyNumberFormat="1" applyFont="1" applyFill="1" applyBorder="1" applyAlignment="1" applyProtection="1">
      <alignment horizontal="center"/>
      <protection/>
    </xf>
    <xf numFmtId="49" fontId="25" fillId="26" borderId="43" xfId="0" applyNumberFormat="1" applyFont="1" applyFill="1" applyBorder="1" applyAlignment="1" applyProtection="1">
      <alignment horizontal="left" vertical="center"/>
      <protection locked="0"/>
    </xf>
    <xf numFmtId="0" fontId="27" fillId="0" borderId="10" xfId="0" applyFont="1" applyFill="1" applyBorder="1" applyAlignment="1" applyProtection="1">
      <alignment/>
      <protection/>
    </xf>
    <xf numFmtId="205" fontId="10" fillId="0" borderId="0" xfId="0" applyNumberFormat="1" applyFont="1" applyFill="1" applyBorder="1" applyAlignment="1" applyProtection="1">
      <alignment horizontal="center"/>
      <protection/>
    </xf>
    <xf numFmtId="205" fontId="10" fillId="10" borderId="115" xfId="0" applyNumberFormat="1" applyFont="1" applyFill="1" applyBorder="1" applyAlignment="1" applyProtection="1">
      <alignment horizontal="center"/>
      <protection/>
    </xf>
    <xf numFmtId="0" fontId="10" fillId="10" borderId="77" xfId="0" applyFont="1" applyFill="1" applyBorder="1" applyAlignment="1" applyProtection="1">
      <alignment horizontal="center" vertical="center"/>
      <protection/>
    </xf>
    <xf numFmtId="1" fontId="1" fillId="10" borderId="182" xfId="0" applyNumberFormat="1" applyFont="1" applyFill="1" applyBorder="1" applyAlignment="1" applyProtection="1">
      <alignment horizontal="center"/>
      <protection/>
    </xf>
    <xf numFmtId="1" fontId="1" fillId="10" borderId="108" xfId="0" applyNumberFormat="1" applyFont="1" applyFill="1" applyBorder="1" applyAlignment="1" applyProtection="1">
      <alignment horizontal="center"/>
      <protection/>
    </xf>
    <xf numFmtId="3" fontId="10" fillId="10" borderId="63" xfId="0" applyNumberFormat="1" applyFont="1" applyFill="1" applyBorder="1" applyAlignment="1" applyProtection="1">
      <alignment horizontal="right"/>
      <protection/>
    </xf>
    <xf numFmtId="0" fontId="10" fillId="10" borderId="102" xfId="0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49" fontId="36" fillId="0" borderId="46" xfId="0" applyNumberFormat="1" applyFont="1" applyFill="1" applyBorder="1" applyAlignment="1" applyProtection="1">
      <alignment horizontal="center"/>
      <protection/>
    </xf>
    <xf numFmtId="0" fontId="36" fillId="0" borderId="44" xfId="0" applyFont="1" applyBorder="1" applyAlignment="1">
      <alignment horizontal="center"/>
    </xf>
    <xf numFmtId="49" fontId="1" fillId="0" borderId="0" xfId="0" applyNumberFormat="1" applyFont="1" applyBorder="1" applyAlignment="1" applyProtection="1">
      <alignment horizontal="right" vertical="center" wrapText="1"/>
      <protection/>
    </xf>
    <xf numFmtId="0" fontId="0" fillId="0" borderId="3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" fillId="26" borderId="72" xfId="0" applyFont="1" applyFill="1" applyBorder="1" applyAlignment="1" applyProtection="1">
      <alignment vertical="center"/>
      <protection locked="0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1" fillId="26" borderId="92" xfId="0" applyFont="1" applyFill="1" applyBorder="1" applyAlignment="1" applyProtection="1">
      <alignment vertical="center"/>
      <protection locked="0"/>
    </xf>
    <xf numFmtId="0" fontId="0" fillId="0" borderId="83" xfId="0" applyBorder="1" applyAlignment="1">
      <alignment vertical="center"/>
    </xf>
    <xf numFmtId="0" fontId="0" fillId="0" borderId="93" xfId="0" applyBorder="1" applyAlignment="1">
      <alignment vertical="center"/>
    </xf>
    <xf numFmtId="49" fontId="25" fillId="26" borderId="42" xfId="0" applyNumberFormat="1" applyFont="1" applyFill="1" applyBorder="1" applyAlignment="1" applyProtection="1">
      <alignment horizontal="right" vertical="center"/>
      <protection locked="0"/>
    </xf>
    <xf numFmtId="49" fontId="25" fillId="26" borderId="33" xfId="0" applyNumberFormat="1" applyFont="1" applyFill="1" applyBorder="1" applyAlignment="1" applyProtection="1">
      <alignment horizontal="right" vertical="center"/>
      <protection locked="0"/>
    </xf>
    <xf numFmtId="0" fontId="3" fillId="17" borderId="19" xfId="0" applyFont="1" applyFill="1" applyBorder="1" applyAlignment="1" applyProtection="1">
      <alignment horizontal="center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42" xfId="0" applyFont="1" applyFill="1" applyBorder="1" applyAlignment="1" applyProtection="1">
      <alignment horizontal="left"/>
      <protection/>
    </xf>
    <xf numFmtId="0" fontId="0" fillId="0" borderId="33" xfId="0" applyBorder="1" applyAlignment="1">
      <alignment/>
    </xf>
    <xf numFmtId="0" fontId="0" fillId="0" borderId="43" xfId="0" applyBorder="1" applyAlignment="1">
      <alignment/>
    </xf>
    <xf numFmtId="0" fontId="39" fillId="0" borderId="183" xfId="0" applyNumberFormat="1" applyFont="1" applyBorder="1" applyAlignment="1" applyProtection="1">
      <alignment horizontal="center"/>
      <protection/>
    </xf>
    <xf numFmtId="0" fontId="0" fillId="0" borderId="183" xfId="0" applyBorder="1" applyAlignment="1">
      <alignment horizontal="center"/>
    </xf>
    <xf numFmtId="0" fontId="3" fillId="24" borderId="184" xfId="0" applyFont="1" applyFill="1" applyBorder="1" applyAlignment="1" applyProtection="1">
      <alignment horizontal="center"/>
      <protection/>
    </xf>
    <xf numFmtId="0" fontId="0" fillId="0" borderId="185" xfId="0" applyBorder="1" applyAlignment="1">
      <alignment horizontal="center"/>
    </xf>
    <xf numFmtId="0" fontId="0" fillId="0" borderId="186" xfId="0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44" xfId="0" applyBorder="1" applyAlignment="1">
      <alignment horizontal="right"/>
    </xf>
    <xf numFmtId="0" fontId="12" fillId="25" borderId="68" xfId="0" applyFont="1" applyFill="1" applyBorder="1" applyAlignment="1" applyProtection="1">
      <alignment horizontal="center"/>
      <protection/>
    </xf>
    <xf numFmtId="0" fontId="0" fillId="0" borderId="33" xfId="0" applyBorder="1" applyAlignment="1">
      <alignment horizontal="center"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39" xfId="0" applyBorder="1" applyAlignment="1">
      <alignment horizontal="right"/>
    </xf>
    <xf numFmtId="0" fontId="1" fillId="0" borderId="0" xfId="0" applyFont="1" applyBorder="1" applyAlignment="1" applyProtection="1">
      <alignment horizontal="right"/>
      <protection/>
    </xf>
    <xf numFmtId="0" fontId="7" fillId="0" borderId="12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1" fillId="0" borderId="0" xfId="0" applyFont="1" applyBorder="1" applyAlignment="1">
      <alignment horizontal="right"/>
    </xf>
    <xf numFmtId="0" fontId="7" fillId="0" borderId="27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2" fillId="26" borderId="42" xfId="0" applyFont="1" applyFill="1" applyBorder="1" applyAlignment="1" applyProtection="1">
      <alignment horizontal="center"/>
      <protection locked="0"/>
    </xf>
    <xf numFmtId="0" fontId="2" fillId="26" borderId="43" xfId="0" applyFont="1" applyFill="1" applyBorder="1" applyAlignment="1" applyProtection="1">
      <alignment horizontal="center"/>
      <protection locked="0"/>
    </xf>
    <xf numFmtId="0" fontId="7" fillId="0" borderId="187" xfId="0" applyFont="1" applyBorder="1" applyAlignment="1" applyProtection="1">
      <alignment horizontal="center" vertical="center" wrapText="1"/>
      <protection/>
    </xf>
    <xf numFmtId="0" fontId="0" fillId="0" borderId="14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dxfs count="16">
    <dxf>
      <font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R96"/>
  <sheetViews>
    <sheetView showGridLines="0" tabSelected="1" zoomScale="105" zoomScaleNormal="105" zoomScalePageLayoutView="0" workbookViewId="0" topLeftCell="A1">
      <selection activeCell="M38" sqref="M38"/>
    </sheetView>
  </sheetViews>
  <sheetFormatPr defaultColWidth="9.00390625" defaultRowHeight="12.75"/>
  <cols>
    <col min="1" max="1" width="13.75390625" style="1" customWidth="1"/>
    <col min="2" max="2" width="5.875" style="1" customWidth="1"/>
    <col min="3" max="3" width="6.875" style="1" customWidth="1"/>
    <col min="4" max="4" width="8.25390625" style="1" customWidth="1"/>
    <col min="5" max="5" width="8.375" style="1" customWidth="1"/>
    <col min="6" max="6" width="5.00390625" style="1" customWidth="1"/>
    <col min="7" max="7" width="8.125" style="1" customWidth="1"/>
    <col min="8" max="8" width="6.50390625" style="1" customWidth="1"/>
    <col min="9" max="9" width="7.625" style="1" customWidth="1"/>
    <col min="10" max="14" width="5.00390625" style="1" customWidth="1"/>
    <col min="15" max="15" width="6.75390625" style="1" customWidth="1"/>
    <col min="16" max="16" width="5.00390625" style="1" customWidth="1"/>
    <col min="17" max="17" width="7.625" style="1" customWidth="1"/>
    <col min="18" max="30" width="5.00390625" style="1" customWidth="1"/>
    <col min="31" max="16384" width="9.00390625" style="1" customWidth="1"/>
  </cols>
  <sheetData>
    <row r="1" spans="1:13" ht="17.25" thickBot="1" thickTop="1">
      <c r="A1" s="743" t="s">
        <v>294</v>
      </c>
      <c r="B1" s="741"/>
      <c r="C1" s="741"/>
      <c r="D1" s="741"/>
      <c r="E1" s="741"/>
      <c r="F1" s="741"/>
      <c r="G1" s="741"/>
      <c r="H1" s="741"/>
      <c r="I1" s="741"/>
      <c r="J1" s="742"/>
      <c r="K1" s="770"/>
      <c r="L1" s="2"/>
      <c r="M1" s="2"/>
    </row>
    <row r="2" spans="1:14" ht="12.75">
      <c r="A2" s="539" t="s">
        <v>115</v>
      </c>
      <c r="B2" s="540"/>
      <c r="C2" s="540"/>
      <c r="D2" s="540"/>
      <c r="E2" s="544"/>
      <c r="F2" s="540"/>
      <c r="G2" s="542"/>
      <c r="H2" s="542"/>
      <c r="I2" s="542"/>
      <c r="J2" s="737" t="s">
        <v>201</v>
      </c>
      <c r="K2" s="331"/>
      <c r="L2" s="331"/>
      <c r="M2" s="331"/>
      <c r="N2" s="2"/>
    </row>
    <row r="3" spans="1:14" ht="12.75">
      <c r="A3" s="543"/>
      <c r="B3" s="544"/>
      <c r="C3" s="544"/>
      <c r="D3" s="544"/>
      <c r="E3" s="544"/>
      <c r="F3" s="544"/>
      <c r="G3" s="545"/>
      <c r="H3" s="545"/>
      <c r="I3" s="545"/>
      <c r="J3" s="738" t="s">
        <v>251</v>
      </c>
      <c r="K3" s="331"/>
      <c r="L3" s="331"/>
      <c r="M3" s="331"/>
      <c r="N3" s="2"/>
    </row>
    <row r="4" spans="1:11" ht="12.75" customHeight="1" thickBot="1">
      <c r="A4" s="543"/>
      <c r="B4" s="544"/>
      <c r="C4" s="544"/>
      <c r="D4" s="546" t="s">
        <v>241</v>
      </c>
      <c r="E4" s="547" t="s">
        <v>240</v>
      </c>
      <c r="F4" s="544"/>
      <c r="G4" s="544"/>
      <c r="H4" s="544"/>
      <c r="I4" s="544"/>
      <c r="J4" s="556"/>
      <c r="K4" s="2"/>
    </row>
    <row r="5" spans="1:11" ht="12.75" customHeight="1" thickBot="1">
      <c r="A5" s="548" t="s">
        <v>116</v>
      </c>
      <c r="B5" s="544"/>
      <c r="C5" s="840" t="s">
        <v>325</v>
      </c>
      <c r="D5" s="841"/>
      <c r="E5" s="817" t="s">
        <v>326</v>
      </c>
      <c r="F5" s="544"/>
      <c r="G5" s="544" t="s">
        <v>117</v>
      </c>
      <c r="H5" s="544"/>
      <c r="I5" s="544"/>
      <c r="J5" s="556"/>
      <c r="K5" s="2"/>
    </row>
    <row r="6" spans="1:11" ht="12.75" customHeight="1" thickBot="1">
      <c r="A6" s="543"/>
      <c r="B6" s="544"/>
      <c r="C6" s="544"/>
      <c r="D6" s="544"/>
      <c r="E6" s="544"/>
      <c r="F6" s="544"/>
      <c r="G6" s="544"/>
      <c r="H6" s="516" t="s">
        <v>180</v>
      </c>
      <c r="I6" s="549">
        <f>SUM(G24,G27)</f>
        <v>200</v>
      </c>
      <c r="J6" s="550"/>
      <c r="K6" s="2"/>
    </row>
    <row r="7" spans="1:10" ht="12.75" customHeight="1" thickBot="1">
      <c r="A7" s="562" t="str">
        <f>IF(E12&gt;6,"","     Linear Transformation is not recommended")</f>
        <v>     Linear Transformation is not recommended</v>
      </c>
      <c r="B7" s="563"/>
      <c r="C7" s="563"/>
      <c r="D7" s="563"/>
      <c r="E7" s="564"/>
      <c r="F7" s="544"/>
      <c r="G7" s="544"/>
      <c r="H7" s="516" t="s">
        <v>181</v>
      </c>
      <c r="I7" s="549">
        <f>IF(I9=9,C61+E61,G23+G26)</f>
        <v>0</v>
      </c>
      <c r="J7" s="550"/>
    </row>
    <row r="8" spans="1:10" ht="12.75" customHeight="1" thickBot="1">
      <c r="A8" s="565" t="str">
        <f>IF(E12&gt;6,"","      in case of scales with &lt; 7 possible ratings. ")</f>
        <v>      in case of scales with &lt; 7 possible ratings. </v>
      </c>
      <c r="B8" s="566"/>
      <c r="C8" s="566"/>
      <c r="D8" s="566"/>
      <c r="E8" s="567"/>
      <c r="F8" s="544"/>
      <c r="G8" s="544"/>
      <c r="H8" s="544"/>
      <c r="I8" s="544"/>
      <c r="J8" s="551">
        <f>IF(OR(I9=1,I9=4,I9=9),"","TYPE INPUT ERROR !!")</f>
      </c>
    </row>
    <row r="9" spans="1:14" ht="12.75" customHeight="1" thickBot="1">
      <c r="A9" s="552" t="s">
        <v>147</v>
      </c>
      <c r="B9" s="544"/>
      <c r="C9" s="544"/>
      <c r="D9" s="2"/>
      <c r="E9" s="553"/>
      <c r="F9" s="544"/>
      <c r="G9" s="544"/>
      <c r="H9" s="554" t="s">
        <v>250</v>
      </c>
      <c r="I9" s="555">
        <v>4</v>
      </c>
      <c r="J9" s="556"/>
      <c r="K9" s="2"/>
      <c r="M9" s="2"/>
      <c r="N9" s="2"/>
    </row>
    <row r="10" spans="1:14" ht="13.5" customHeight="1">
      <c r="A10" s="543" t="s">
        <v>228</v>
      </c>
      <c r="B10" s="544"/>
      <c r="C10" s="544"/>
      <c r="D10" s="544"/>
      <c r="E10" s="557">
        <v>3</v>
      </c>
      <c r="F10" s="544"/>
      <c r="G10" s="544"/>
      <c r="H10" s="544"/>
      <c r="I10" s="516" t="s">
        <v>118</v>
      </c>
      <c r="J10" s="556"/>
      <c r="K10" s="2"/>
      <c r="M10" s="2"/>
      <c r="N10" s="2"/>
    </row>
    <row r="11" spans="1:13" ht="13.5" thickBot="1">
      <c r="A11" s="543" t="s">
        <v>229</v>
      </c>
      <c r="B11" s="544"/>
      <c r="C11" s="544"/>
      <c r="D11" s="544"/>
      <c r="E11" s="558">
        <v>1</v>
      </c>
      <c r="F11" s="544"/>
      <c r="G11" s="544"/>
      <c r="H11" s="544"/>
      <c r="I11" s="516" t="s">
        <v>247</v>
      </c>
      <c r="J11" s="556"/>
      <c r="K11" s="2"/>
      <c r="L11" s="2"/>
      <c r="M11" s="2"/>
    </row>
    <row r="12" spans="1:13" ht="13.5" thickBot="1">
      <c r="A12" s="543" t="s">
        <v>202</v>
      </c>
      <c r="B12" s="544"/>
      <c r="C12" s="544"/>
      <c r="D12" s="544"/>
      <c r="E12" s="821">
        <f>E10-E11+1</f>
        <v>3</v>
      </c>
      <c r="F12" s="544"/>
      <c r="G12" s="544"/>
      <c r="H12" s="544"/>
      <c r="I12" s="2"/>
      <c r="J12" s="593" t="s">
        <v>274</v>
      </c>
      <c r="K12" s="2"/>
      <c r="L12" s="2"/>
      <c r="M12" s="2"/>
    </row>
    <row r="13" spans="1:10" ht="12.75">
      <c r="A13" s="543"/>
      <c r="B13" s="544"/>
      <c r="C13" s="544"/>
      <c r="D13" s="544"/>
      <c r="E13" s="559">
        <f>IF(OR(E10&lt;E11,E10=E11,E10&gt;12,E11&lt;0),"INPUT ERROR !!","")</f>
      </c>
      <c r="F13" s="544"/>
      <c r="G13" s="544"/>
      <c r="H13" s="544"/>
      <c r="I13" s="516" t="s">
        <v>248</v>
      </c>
      <c r="J13" s="556"/>
    </row>
    <row r="14" spans="1:10" ht="12.75">
      <c r="A14" s="552" t="s">
        <v>126</v>
      </c>
      <c r="B14" s="544"/>
      <c r="C14" s="544"/>
      <c r="D14" s="544"/>
      <c r="E14" s="544"/>
      <c r="F14" s="544"/>
      <c r="G14" s="544"/>
      <c r="H14" s="544"/>
      <c r="I14" s="516" t="s">
        <v>249</v>
      </c>
      <c r="J14" s="556"/>
    </row>
    <row r="15" spans="1:10" ht="13.5" thickBot="1">
      <c r="A15" s="543" t="s">
        <v>316</v>
      </c>
      <c r="B15" s="544"/>
      <c r="C15" s="544"/>
      <c r="D15" s="544"/>
      <c r="E15" s="544"/>
      <c r="F15" s="544"/>
      <c r="G15" s="544"/>
      <c r="H15" s="544"/>
      <c r="I15" s="544"/>
      <c r="J15" s="556"/>
    </row>
    <row r="16" spans="1:10" ht="12.75">
      <c r="A16" s="560" t="s">
        <v>148</v>
      </c>
      <c r="B16" s="834" t="s">
        <v>95</v>
      </c>
      <c r="C16" s="835"/>
      <c r="D16" s="835"/>
      <c r="E16" s="835"/>
      <c r="F16" s="835"/>
      <c r="G16" s="836"/>
      <c r="H16" s="544"/>
      <c r="I16" s="544"/>
      <c r="J16" s="556"/>
    </row>
    <row r="17" spans="1:10" ht="13.5" thickBot="1">
      <c r="A17" s="561" t="s">
        <v>149</v>
      </c>
      <c r="B17" s="837" t="s">
        <v>94</v>
      </c>
      <c r="C17" s="838"/>
      <c r="D17" s="838"/>
      <c r="E17" s="838"/>
      <c r="F17" s="838"/>
      <c r="G17" s="839"/>
      <c r="H17" s="544"/>
      <c r="I17" s="544"/>
      <c r="J17" s="556"/>
    </row>
    <row r="18" spans="1:10" ht="13.5" thickBot="1">
      <c r="A18" s="86"/>
      <c r="B18" s="2"/>
      <c r="C18" s="2"/>
      <c r="D18" s="2"/>
      <c r="E18" s="2"/>
      <c r="F18" s="2"/>
      <c r="G18" s="2"/>
      <c r="H18" s="2"/>
      <c r="I18" s="2"/>
      <c r="J18" s="99"/>
    </row>
    <row r="19" spans="1:10" ht="13.5" thickBot="1">
      <c r="A19" s="86"/>
      <c r="B19" s="2"/>
      <c r="C19" s="2"/>
      <c r="D19" s="2"/>
      <c r="E19" s="516" t="s">
        <v>321</v>
      </c>
      <c r="F19" s="555" t="s">
        <v>323</v>
      </c>
      <c r="G19" s="815">
        <f>IF(F19="","  PLEASE ENTER YOUR CODE !!","")</f>
      </c>
      <c r="H19" s="2"/>
      <c r="I19" s="2"/>
      <c r="J19" s="99"/>
    </row>
    <row r="20" spans="1:10" ht="12.75">
      <c r="A20" s="152" t="s">
        <v>130</v>
      </c>
      <c r="B20" s="2"/>
      <c r="C20" s="2"/>
      <c r="D20" s="2"/>
      <c r="E20" s="2"/>
      <c r="G20" s="2"/>
      <c r="H20" s="2"/>
      <c r="I20" s="2"/>
      <c r="J20" s="99"/>
    </row>
    <row r="21" spans="1:10" ht="13.5" thickBot="1">
      <c r="A21" s="2" t="s">
        <v>203</v>
      </c>
      <c r="B21" s="2"/>
      <c r="C21" s="2"/>
      <c r="D21" s="2"/>
      <c r="E21" s="2"/>
      <c r="F21" s="2"/>
      <c r="G21" s="2"/>
      <c r="H21" s="2"/>
      <c r="I21" s="2"/>
      <c r="J21" s="99"/>
    </row>
    <row r="22" spans="1:11" ht="12.75">
      <c r="A22" s="337" t="s">
        <v>132</v>
      </c>
      <c r="B22" s="39"/>
      <c r="C22" s="79"/>
      <c r="D22" s="49"/>
      <c r="E22" s="80" t="s">
        <v>128</v>
      </c>
      <c r="F22" s="315"/>
      <c r="G22" s="406">
        <v>100</v>
      </c>
      <c r="H22" s="125">
        <f>IF(G22&lt;0.5," (must be entered !!)","")</f>
      </c>
      <c r="I22" s="330"/>
      <c r="J22" s="338"/>
      <c r="K22"/>
    </row>
    <row r="23" spans="1:11" ht="12.75">
      <c r="A23" s="34"/>
      <c r="B23" s="6"/>
      <c r="C23" s="6"/>
      <c r="D23" s="575">
        <f>IF(G23&gt;G22,"INPUT ERROR !!","")</f>
      </c>
      <c r="E23" s="6"/>
      <c r="F23" s="355" t="s">
        <v>137</v>
      </c>
      <c r="G23" s="407">
        <v>0</v>
      </c>
      <c r="H23" s="356" t="s">
        <v>53</v>
      </c>
      <c r="I23" s="330"/>
      <c r="J23" s="338"/>
      <c r="K23"/>
    </row>
    <row r="24" spans="1:11" ht="13.5" thickBot="1">
      <c r="A24" s="34"/>
      <c r="B24" s="6"/>
      <c r="C24" s="6"/>
      <c r="D24" s="575"/>
      <c r="E24" s="6"/>
      <c r="F24" s="355" t="s">
        <v>305</v>
      </c>
      <c r="G24" s="801">
        <f>G22-G23</f>
        <v>100</v>
      </c>
      <c r="H24" s="356"/>
      <c r="I24" s="330"/>
      <c r="J24" s="338"/>
      <c r="K24"/>
    </row>
    <row r="25" spans="1:11" ht="12.75">
      <c r="A25" s="339" t="s">
        <v>132</v>
      </c>
      <c r="B25" s="6"/>
      <c r="C25" s="6"/>
      <c r="D25" s="6"/>
      <c r="E25" s="6" t="s">
        <v>129</v>
      </c>
      <c r="F25" s="2"/>
      <c r="G25" s="406">
        <v>100</v>
      </c>
      <c r="H25" s="356"/>
      <c r="I25" s="330"/>
      <c r="J25" s="338"/>
      <c r="K25"/>
    </row>
    <row r="26" spans="1:11" ht="12.75">
      <c r="A26" s="34"/>
      <c r="B26" s="6"/>
      <c r="C26" s="6"/>
      <c r="D26" s="575">
        <f>IF(G26&gt;G25,"INPUT ERROR !!","")</f>
      </c>
      <c r="E26" s="6"/>
      <c r="F26" s="355" t="s">
        <v>137</v>
      </c>
      <c r="G26" s="802">
        <v>0</v>
      </c>
      <c r="H26" s="356" t="s">
        <v>53</v>
      </c>
      <c r="I26" s="330"/>
      <c r="J26" s="338"/>
      <c r="K26"/>
    </row>
    <row r="27" spans="1:11" ht="13.5" thickBot="1">
      <c r="A27" s="34"/>
      <c r="B27" s="6"/>
      <c r="C27" s="6"/>
      <c r="D27" s="575"/>
      <c r="E27" s="6"/>
      <c r="F27" s="355" t="s">
        <v>305</v>
      </c>
      <c r="G27" s="800">
        <f>G25-G26</f>
        <v>100</v>
      </c>
      <c r="H27" s="356"/>
      <c r="I27" s="330"/>
      <c r="J27" s="338"/>
      <c r="K27"/>
    </row>
    <row r="28" spans="1:11" ht="13.5" thickBot="1">
      <c r="A28" s="36"/>
      <c r="B28" s="37"/>
      <c r="C28" s="37"/>
      <c r="D28" s="403"/>
      <c r="E28" s="37"/>
      <c r="F28" s="360" t="s">
        <v>141</v>
      </c>
      <c r="G28" s="359">
        <f>(G23+G26)/(G22+G25)</f>
        <v>0</v>
      </c>
      <c r="H28" s="125"/>
      <c r="I28" s="330"/>
      <c r="J28" s="338"/>
      <c r="K28"/>
    </row>
    <row r="29" spans="1:13" ht="12.75">
      <c r="A29" s="340"/>
      <c r="B29" s="174"/>
      <c r="C29" s="174"/>
      <c r="D29" s="174"/>
      <c r="E29" s="174"/>
      <c r="F29" s="258"/>
      <c r="G29" s="175"/>
      <c r="H29" s="125"/>
      <c r="I29" s="330"/>
      <c r="J29" s="338"/>
      <c r="K29"/>
      <c r="L29" s="6"/>
      <c r="M29" s="355"/>
    </row>
    <row r="30" spans="1:11" ht="12.75">
      <c r="A30" s="341" t="s">
        <v>226</v>
      </c>
      <c r="B30" s="118"/>
      <c r="C30" s="119"/>
      <c r="D30" s="120" t="s">
        <v>227</v>
      </c>
      <c r="E30" s="118"/>
      <c r="F30" s="88"/>
      <c r="G30" s="329"/>
      <c r="H30" s="90"/>
      <c r="I30" s="90"/>
      <c r="J30" s="338"/>
      <c r="K30"/>
    </row>
    <row r="31" spans="1:11" ht="13.5" thickBot="1">
      <c r="A31" s="342"/>
      <c r="B31" s="372">
        <f>E11</f>
        <v>1</v>
      </c>
      <c r="C31" s="404" t="str">
        <f>IF(AND(E$31&gt;B$31,B$31&lt;2)," ","ERROR  ?")</f>
        <v> </v>
      </c>
      <c r="D31" s="122"/>
      <c r="E31" s="372">
        <f>E10</f>
        <v>3</v>
      </c>
      <c r="F31" s="374"/>
      <c r="G31" s="405" t="str">
        <f>IF(AND(E$31&gt;B$31,E$31&lt;13)," "," ERROR  ?")</f>
        <v> </v>
      </c>
      <c r="H31" s="90"/>
      <c r="I31" s="90"/>
      <c r="J31" s="338"/>
      <c r="K31"/>
    </row>
    <row r="32" spans="1:11" ht="13.5" thickBot="1">
      <c r="A32" s="343" t="s">
        <v>44</v>
      </c>
      <c r="B32" s="248"/>
      <c r="C32" s="184">
        <v>0</v>
      </c>
      <c r="D32" s="249" t="s">
        <v>131</v>
      </c>
      <c r="E32" s="250"/>
      <c r="F32" s="259"/>
      <c r="G32" s="251" t="str">
        <f>IF(OR(C32=0,C32=1)," ","  ERROR !!")</f>
        <v> </v>
      </c>
      <c r="H32" s="90"/>
      <c r="I32" s="90"/>
      <c r="J32" s="338"/>
      <c r="K32"/>
    </row>
    <row r="33" spans="1:11" ht="13.5" thickBot="1">
      <c r="A33" s="349"/>
      <c r="B33" s="235"/>
      <c r="C33" s="235"/>
      <c r="D33" s="235"/>
      <c r="E33" s="235"/>
      <c r="F33" s="236"/>
      <c r="G33" s="350"/>
      <c r="H33" s="188"/>
      <c r="I33" s="330"/>
      <c r="J33" s="338"/>
      <c r="K33"/>
    </row>
    <row r="34" spans="1:15" ht="12.75">
      <c r="A34" s="351"/>
      <c r="B34" s="352"/>
      <c r="C34" s="59"/>
      <c r="D34" s="353" t="s">
        <v>138</v>
      </c>
      <c r="E34" s="49"/>
      <c r="F34" s="49"/>
      <c r="G34" s="354"/>
      <c r="H34" s="2"/>
      <c r="I34" s="90"/>
      <c r="J34" s="164"/>
      <c r="K34"/>
      <c r="L34"/>
      <c r="M34"/>
      <c r="N34"/>
      <c r="O34"/>
    </row>
    <row r="35" spans="1:10" ht="13.5" thickBot="1">
      <c r="A35" s="121"/>
      <c r="B35" s="12"/>
      <c r="C35" s="12"/>
      <c r="D35" s="327" t="s">
        <v>39</v>
      </c>
      <c r="E35" s="37"/>
      <c r="F35" s="37"/>
      <c r="G35" s="328"/>
      <c r="H35" s="2"/>
      <c r="I35" s="2"/>
      <c r="J35" s="99"/>
    </row>
    <row r="36" spans="1:10" ht="13.5" thickBot="1">
      <c r="A36" s="121"/>
      <c r="B36" s="2"/>
      <c r="C36" s="2"/>
      <c r="D36" s="2"/>
      <c r="E36" s="324" t="s">
        <v>127</v>
      </c>
      <c r="F36" s="325"/>
      <c r="G36" s="326"/>
      <c r="H36" s="2"/>
      <c r="I36" s="2"/>
      <c r="J36" s="99"/>
    </row>
    <row r="37" spans="1:10" ht="13.5" thickBot="1">
      <c r="A37" s="121"/>
      <c r="B37" s="232" t="s">
        <v>230</v>
      </c>
      <c r="C37" s="233"/>
      <c r="D37" s="318"/>
      <c r="E37" s="319" t="s">
        <v>76</v>
      </c>
      <c r="F37" s="320"/>
      <c r="G37" s="321" t="s">
        <v>76</v>
      </c>
      <c r="H37" s="2"/>
      <c r="I37" s="2"/>
      <c r="J37" s="99"/>
    </row>
    <row r="38" spans="1:10" ht="13.5" thickBot="1">
      <c r="A38" s="121"/>
      <c r="B38" s="466" t="str">
        <f>IF(C32=1,"reversed","original")</f>
        <v>original</v>
      </c>
      <c r="C38" s="234" t="s">
        <v>81</v>
      </c>
      <c r="D38" s="492"/>
      <c r="E38" s="322" t="s">
        <v>148</v>
      </c>
      <c r="F38" s="163"/>
      <c r="G38" s="323" t="s">
        <v>149</v>
      </c>
      <c r="H38" s="2"/>
      <c r="I38" s="2"/>
      <c r="J38" s="99"/>
    </row>
    <row r="39" spans="1:10" ht="12.75">
      <c r="A39" s="739"/>
      <c r="B39" s="467">
        <f>IF(AND($B$31-0.1&lt;12,$E$31+0.1&gt;12),12,"")</f>
      </c>
      <c r="C39" s="111" t="str">
        <f aca="true" t="shared" si="0" ref="C39:C51">IF(OR(B39&lt;$B$31,B39&gt;$E$31)," ",10*(B39-B$31)/(E$31-B$31))</f>
        <v> </v>
      </c>
      <c r="D39" s="492" t="str">
        <f>IF(B40=$E$10-1,"HAPPY","  ")</f>
        <v>  </v>
      </c>
      <c r="E39" s="759"/>
      <c r="F39" s="459" t="str">
        <f>IF($C$32=0,IF(OR($B$31-0.1&gt;12,$E$31+0.1&lt;12)," ",12),IF($C$32=1,IF(OR($B$31-0.1&gt;12,$E$31+0.1&lt;12)," ",$B$31+$E$31-12),""))</f>
        <v> </v>
      </c>
      <c r="G39" s="760"/>
      <c r="H39" s="2"/>
      <c r="I39" s="2"/>
      <c r="J39" s="99"/>
    </row>
    <row r="40" spans="1:10" ht="12.75">
      <c r="A40" s="739"/>
      <c r="B40" s="467" t="str">
        <f>IF(AND($B$31-0.1&lt;11,$E$31+0.1&gt;11),11,"  ")</f>
        <v>  </v>
      </c>
      <c r="C40" s="111" t="str">
        <f t="shared" si="0"/>
        <v> </v>
      </c>
      <c r="D40" s="492" t="str">
        <f aca="true" t="shared" si="1" ref="D40:D50">IF(B41=$E$10-1,"HAPPY","  ")</f>
        <v>  </v>
      </c>
      <c r="E40" s="761"/>
      <c r="F40" s="459" t="str">
        <f>IF($C$32=0,IF(OR($B$31-0.1&gt;11,$E$31+0.1&lt;11)," ",11),IF($C$32=1,IF(OR($B$31-0.1&gt;11,$E$31+0.1&lt;11)," ",$B$31+$E$31-11),""))</f>
        <v> </v>
      </c>
      <c r="G40" s="762"/>
      <c r="H40" s="2"/>
      <c r="I40" s="2"/>
      <c r="J40" s="99"/>
    </row>
    <row r="41" spans="1:10" ht="12.75">
      <c r="A41" s="739"/>
      <c r="B41" s="467" t="str">
        <f>IF(AND($B$31-0.1&lt;10,$E$31+0.1&gt;10),10,"  ")</f>
        <v>  </v>
      </c>
      <c r="C41" s="111" t="str">
        <f t="shared" si="0"/>
        <v> </v>
      </c>
      <c r="D41" s="492" t="str">
        <f t="shared" si="1"/>
        <v>  </v>
      </c>
      <c r="E41" s="761"/>
      <c r="F41" s="459" t="str">
        <f>IF($C$32=0,IF(OR($B$31-0.1&gt;10,$E$31+0.1&lt;10)," ",10),IF($C$32=1,IF(OR($B$31-0.1&gt;10,$E$31+0.1&lt;10)," ",$B$31+$E$31-10),""))</f>
        <v> </v>
      </c>
      <c r="G41" s="762"/>
      <c r="H41" s="2"/>
      <c r="I41" s="2"/>
      <c r="J41" s="99"/>
    </row>
    <row r="42" spans="1:10" ht="12.75">
      <c r="A42" s="739"/>
      <c r="B42" s="467">
        <f>IF(AND($B$31-0.1&lt;9,$E$31+0.1&gt;9),9,"")</f>
      </c>
      <c r="C42" s="111" t="str">
        <f t="shared" si="0"/>
        <v> </v>
      </c>
      <c r="D42" s="492" t="str">
        <f t="shared" si="1"/>
        <v>  </v>
      </c>
      <c r="E42" s="761"/>
      <c r="F42" s="459" t="str">
        <f>IF($C$32=0,IF(OR($B$31-0.1&gt;9,$E$31+0.1&lt;9)," ",9),IF($C$32=1,IF(OR($B$31-0.1&gt;9,$E$31+0.1&lt;9)," ",$B$31+$E$31-9),""))</f>
        <v> </v>
      </c>
      <c r="G42" s="762"/>
      <c r="H42" s="2"/>
      <c r="I42" s="2"/>
      <c r="J42" s="99"/>
    </row>
    <row r="43" spans="1:10" ht="12.75">
      <c r="A43" s="739"/>
      <c r="B43" s="467">
        <f>IF(AND($B$31-0.1&lt;8,$E$31+0.1&gt;8),8,"")</f>
      </c>
      <c r="C43" s="111" t="str">
        <f t="shared" si="0"/>
        <v> </v>
      </c>
      <c r="D43" s="492" t="str">
        <f t="shared" si="1"/>
        <v>  </v>
      </c>
      <c r="E43" s="761"/>
      <c r="F43" s="459" t="str">
        <f>IF($C$32=0,IF(OR($B$31-0.1&gt;8,$E$31+0.1&lt;8)," ",8),IF($C$32=1,IF(OR($B$31-0.1&gt;8,$E$31+0.1&lt;8)," ",$B$31+$E$31-8),""))</f>
        <v> </v>
      </c>
      <c r="G43" s="762"/>
      <c r="H43" s="2"/>
      <c r="I43" s="2"/>
      <c r="J43" s="99"/>
    </row>
    <row r="44" spans="1:10" ht="12.75">
      <c r="A44" s="739"/>
      <c r="B44" s="467">
        <f>IF(AND($B$31-0.1&lt;7,$E$31+0.1&gt;7),7,"")</f>
      </c>
      <c r="C44" s="111" t="str">
        <f t="shared" si="0"/>
        <v> </v>
      </c>
      <c r="D44" s="492" t="str">
        <f t="shared" si="1"/>
        <v>  </v>
      </c>
      <c r="E44" s="761"/>
      <c r="F44" s="459" t="str">
        <f>IF($C$32=0,IF(OR($B$31-0.1&gt;7,$E$31+0.1&lt;7)," ",7),IF($C$32=1,IF(OR($B$31-0.1&gt;7,$E$31+0.1&lt;7)," ",$B$31+$E$31-7),""))</f>
        <v> </v>
      </c>
      <c r="G44" s="762"/>
      <c r="H44" s="2"/>
      <c r="I44" s="2"/>
      <c r="J44" s="99"/>
    </row>
    <row r="45" spans="1:10" ht="12.75">
      <c r="A45" s="739"/>
      <c r="B45" s="467">
        <f>IF(AND($B$31-0.1&lt;6,$E$31+0.1&gt;6),6,"")</f>
      </c>
      <c r="C45" s="111" t="str">
        <f t="shared" si="0"/>
        <v> </v>
      </c>
      <c r="D45" s="492" t="str">
        <f t="shared" si="1"/>
        <v>  </v>
      </c>
      <c r="E45" s="761"/>
      <c r="F45" s="459" t="str">
        <f>IF($C$32=0,IF(OR($B$31-0.1&gt;6,$E$31+0.1&lt;6)," ",6),IF($C$32=1,IF(OR($B$31-0.1&gt;6,$E$31+0.1&lt;6)," ",$B$31+$E$31-6),""))</f>
        <v> </v>
      </c>
      <c r="G45" s="762"/>
      <c r="H45" s="2"/>
      <c r="I45" s="2"/>
      <c r="J45" s="99"/>
    </row>
    <row r="46" spans="1:10" ht="12.75">
      <c r="A46" s="739"/>
      <c r="B46" s="467">
        <f>IF(AND($B$31-0.1&lt;5,$E$31+0.1&gt;5),5,"")</f>
      </c>
      <c r="C46" s="111" t="str">
        <f t="shared" si="0"/>
        <v> </v>
      </c>
      <c r="D46" s="492" t="str">
        <f t="shared" si="1"/>
        <v>  </v>
      </c>
      <c r="E46" s="761"/>
      <c r="F46" s="459" t="str">
        <f>IF($C$32=0,IF(OR($B$31-0.1&gt;5,$E$31+0.1&lt;5)," ",5),IF($C$32=1,IF(OR($B$31-0.1&gt;5,$E$31+0.1&lt;5)," ",$B$31+$E$31-5),""))</f>
        <v> </v>
      </c>
      <c r="G46" s="762"/>
      <c r="H46" s="2"/>
      <c r="I46" s="2"/>
      <c r="J46" s="99"/>
    </row>
    <row r="47" spans="1:10" ht="12.75">
      <c r="A47" s="739"/>
      <c r="B47" s="467">
        <f>IF(AND($B$31-0.1&lt;4,$E$31+0.1&gt;4),4,"")</f>
      </c>
      <c r="C47" s="111" t="str">
        <f t="shared" si="0"/>
        <v> </v>
      </c>
      <c r="D47" s="492" t="str">
        <f t="shared" si="1"/>
        <v>  </v>
      </c>
      <c r="E47" s="763"/>
      <c r="F47" s="459" t="str">
        <f>IF($C$32=0,IF(OR($B$31-0.1&gt;4,$E$31+0.1&lt;4)," ",4),IF($C$32=1,IF(OR($B$31-0.1&gt;4,$E$31+0.1&lt;4)," ",$B$31+$E$31-4),""))</f>
        <v> </v>
      </c>
      <c r="G47" s="762"/>
      <c r="H47" s="2"/>
      <c r="I47" s="2"/>
      <c r="J47" s="99"/>
    </row>
    <row r="48" spans="1:10" ht="12.75">
      <c r="A48" s="739"/>
      <c r="B48" s="467">
        <f>IF(AND($B$31-0.1&lt;3,$E$31+0.1&gt;3),3,"")</f>
        <v>3</v>
      </c>
      <c r="C48" s="111">
        <f t="shared" si="0"/>
        <v>10</v>
      </c>
      <c r="D48" s="492" t="str">
        <f t="shared" si="1"/>
        <v>HAPPY</v>
      </c>
      <c r="E48" s="763">
        <v>50</v>
      </c>
      <c r="F48" s="459">
        <f>IF($C$32=0,IF(OR($B$31-0.1&gt;3,$E$31+0.1&lt;3)," ",3),IF($C$32=1,IF(OR($B$31-0.1&gt;3,$E$31+0.1&lt;3)," ",$B$31+$E$31-3),""))</f>
        <v>3</v>
      </c>
      <c r="G48" s="762">
        <v>60</v>
      </c>
      <c r="H48" s="2"/>
      <c r="I48" s="2"/>
      <c r="J48" s="99"/>
    </row>
    <row r="49" spans="1:10" ht="12.75">
      <c r="A49" s="739"/>
      <c r="B49" s="467">
        <f>IF(AND($B$31-0.1&lt;2,$E$31+0.1&gt;2),2,"")</f>
        <v>2</v>
      </c>
      <c r="C49" s="111">
        <f t="shared" si="0"/>
        <v>5</v>
      </c>
      <c r="D49" s="492" t="str">
        <f t="shared" si="1"/>
        <v>  </v>
      </c>
      <c r="E49" s="763">
        <v>20</v>
      </c>
      <c r="F49" s="459">
        <f>IF($C$32=0,IF(OR($B$31-0.1&gt;2,$E$31+0.1&lt;2)," ",2),IF($C$32=1,IF(OR($B$31-0.1&gt;2,$E$31+0.1&lt;2)," ",$B$31+$E$31-2),""))</f>
        <v>2</v>
      </c>
      <c r="G49" s="764">
        <v>20</v>
      </c>
      <c r="H49" s="2"/>
      <c r="I49" s="2"/>
      <c r="J49" s="99"/>
    </row>
    <row r="50" spans="1:10" ht="12.75">
      <c r="A50" s="740"/>
      <c r="B50" s="467">
        <f>IF(AND($B$31-0.1&lt;1,$E$31+0.1&gt;1),1,"")</f>
        <v>1</v>
      </c>
      <c r="C50" s="111">
        <f t="shared" si="0"/>
        <v>0</v>
      </c>
      <c r="D50" s="492" t="str">
        <f t="shared" si="1"/>
        <v>  </v>
      </c>
      <c r="E50" s="763">
        <v>30</v>
      </c>
      <c r="F50" s="459">
        <f>IF($C$32=0,IF(OR($B$31-0.1&gt;1,$E$31+0.1&lt;1)," ",1),IF($C$32=1,IF(OR($B$31-0.1&gt;1,$E$31+0.1&lt;1)," ",$B$31+$E$31-1),""))</f>
        <v>1</v>
      </c>
      <c r="G50" s="764">
        <v>20</v>
      </c>
      <c r="H50" s="2"/>
      <c r="I50" s="2"/>
      <c r="J50" s="99"/>
    </row>
    <row r="51" spans="1:10" ht="13.5" thickBot="1">
      <c r="A51" s="744"/>
      <c r="B51" s="468">
        <f>IF(AND($B$31-0.1&lt;0,$E$31+0.1&gt;0),0,"")</f>
      </c>
      <c r="C51" s="469" t="str">
        <f t="shared" si="0"/>
        <v> </v>
      </c>
      <c r="D51" s="491" t="s">
        <v>231</v>
      </c>
      <c r="E51" s="763"/>
      <c r="F51" s="459" t="str">
        <f>IF($C$32=0,IF(OR($B$31-0.1&gt;0,$E$31+0.1&lt;1)," ",0),IF($C$32=1,IF(OR($B$31-0.1&gt;1,$E$31+0.1&lt;0)," ",$E$31),""))</f>
        <v> </v>
      </c>
      <c r="G51" s="764"/>
      <c r="H51" s="826">
        <f>IF(AND(B31&gt;0.1,E51+G51&gt;0.001),"INPUT ERROR !!","")</f>
      </c>
      <c r="I51" s="2"/>
      <c r="J51" s="99"/>
    </row>
    <row r="52" spans="1:10" ht="13.5" thickBot="1">
      <c r="A52" s="745"/>
      <c r="B52" s="464"/>
      <c r="C52" s="747" t="str">
        <f>IF(OR(I9=1,I9=4),IF(I9=1,"      NUMBER","      PERCENT")," ")</f>
        <v>      PERCENT</v>
      </c>
      <c r="D52" s="746"/>
      <c r="E52" s="493">
        <f>SUM(E39:E51)</f>
        <v>100</v>
      </c>
      <c r="F52" s="231" t="s">
        <v>15</v>
      </c>
      <c r="G52" s="494">
        <f>SUM(G39:G51)</f>
        <v>100</v>
      </c>
      <c r="H52" s="2"/>
      <c r="I52" s="2"/>
      <c r="J52" s="99"/>
    </row>
    <row r="53" spans="1:10" ht="13.5" thickBot="1">
      <c r="A53" s="121"/>
      <c r="B53" s="465"/>
      <c r="C53" s="736" t="s">
        <v>295</v>
      </c>
      <c r="D53" s="746"/>
      <c r="E53" s="824">
        <f>G23</f>
        <v>0</v>
      </c>
      <c r="F53" s="471" t="s">
        <v>53</v>
      </c>
      <c r="G53" s="825">
        <f>G26</f>
        <v>0</v>
      </c>
      <c r="H53" s="2"/>
      <c r="I53" s="2"/>
      <c r="J53" s="99"/>
    </row>
    <row r="54" spans="1:10" ht="12.75">
      <c r="A54" s="152"/>
      <c r="B54" s="344">
        <f>IF(ABS(COUNT(E39:E51,G39:G51)-2*E12)&gt;0.5,"INPUT ERROR !!","")</f>
      </c>
      <c r="C54" s="2"/>
      <c r="D54" s="2"/>
      <c r="E54" s="280">
        <f>IF(NOT(I9=1),"",IF(AND(SUM(E39:E51)=G22-G23,SUM(G39:G51)=G25-G26)," ","INPUT ERROR (in number of subjects !!"))</f>
      </c>
      <c r="F54" s="6"/>
      <c r="G54" s="6"/>
      <c r="H54" s="2"/>
      <c r="I54" s="2"/>
      <c r="J54" s="99"/>
    </row>
    <row r="55" spans="1:10" ht="12.75">
      <c r="A55" s="458" t="s">
        <v>121</v>
      </c>
      <c r="B55" s="2"/>
      <c r="C55" s="2"/>
      <c r="D55" s="2"/>
      <c r="E55" s="2"/>
      <c r="F55" s="2"/>
      <c r="G55" s="2"/>
      <c r="H55" s="2"/>
      <c r="I55" s="2"/>
      <c r="J55" s="99"/>
    </row>
    <row r="56" spans="1:11" ht="13.5" thickBot="1">
      <c r="A56" s="152"/>
      <c r="B56" s="2"/>
      <c r="C56" s="2"/>
      <c r="D56" s="2"/>
      <c r="E56" s="2" t="s">
        <v>322</v>
      </c>
      <c r="F56" s="2"/>
      <c r="G56" s="2"/>
      <c r="H56" s="2"/>
      <c r="I56" s="2"/>
      <c r="J56" s="99"/>
      <c r="K56" s="2"/>
    </row>
    <row r="57" spans="1:11" ht="15.75" thickBot="1">
      <c r="A57" s="86"/>
      <c r="B57" s="184">
        <v>0</v>
      </c>
      <c r="C57" s="256" t="s">
        <v>84</v>
      </c>
      <c r="D57" s="172"/>
      <c r="E57" s="257"/>
      <c r="F57" s="775"/>
      <c r="G57" s="776"/>
      <c r="H57" s="577"/>
      <c r="I57" s="2"/>
      <c r="J57" s="99"/>
      <c r="K57" s="2"/>
    </row>
    <row r="58" spans="1:13" ht="12.75">
      <c r="A58" s="34"/>
      <c r="B58" s="230"/>
      <c r="C58" s="316">
        <v>1</v>
      </c>
      <c r="D58" s="151"/>
      <c r="E58" s="316">
        <f>C58+1</f>
        <v>2</v>
      </c>
      <c r="F58" s="2"/>
      <c r="G58" s="2"/>
      <c r="H58" s="2"/>
      <c r="I58" s="2"/>
      <c r="J58" s="99"/>
      <c r="K58" s="2"/>
      <c r="M58"/>
    </row>
    <row r="59" spans="1:13" ht="13.5" thickBot="1">
      <c r="A59" s="34"/>
      <c r="B59" s="230" t="s">
        <v>122</v>
      </c>
      <c r="C59" s="317" t="s">
        <v>119</v>
      </c>
      <c r="D59" s="151"/>
      <c r="E59" s="317" t="s">
        <v>120</v>
      </c>
      <c r="F59" s="2"/>
      <c r="G59" s="150"/>
      <c r="H59" s="2"/>
      <c r="I59" s="2"/>
      <c r="J59" s="99"/>
      <c r="M59"/>
    </row>
    <row r="60" spans="1:13" ht="12.75">
      <c r="A60" s="345"/>
      <c r="B60" s="73" t="s">
        <v>133</v>
      </c>
      <c r="C60" s="600"/>
      <c r="D60" s="601"/>
      <c r="E60" s="600"/>
      <c r="F60" s="2"/>
      <c r="G60" s="344"/>
      <c r="H60" s="2"/>
      <c r="I60" s="2"/>
      <c r="J60" s="99"/>
      <c r="M60"/>
    </row>
    <row r="61" spans="1:13" ht="12.75">
      <c r="A61" s="345"/>
      <c r="B61" s="73" t="s">
        <v>134</v>
      </c>
      <c r="C61" s="602"/>
      <c r="D61" s="601"/>
      <c r="E61" s="602"/>
      <c r="F61" s="2"/>
      <c r="G61" s="344"/>
      <c r="H61" s="2"/>
      <c r="I61" s="2"/>
      <c r="J61" s="99"/>
      <c r="M61"/>
    </row>
    <row r="62" spans="1:13" ht="12.75">
      <c r="A62" s="345"/>
      <c r="B62" s="73" t="s">
        <v>135</v>
      </c>
      <c r="C62" s="334"/>
      <c r="D62" s="336"/>
      <c r="E62" s="334"/>
      <c r="F62" s="2"/>
      <c r="G62" s="344" t="str">
        <f>IF(NOT(I$9=9)," ",IF(OR(C62&lt;E$10,E62&lt;E$10),"","INPUT ERROR !!"))</f>
        <v> </v>
      </c>
      <c r="H62" s="2"/>
      <c r="I62" s="2"/>
      <c r="J62" s="99"/>
      <c r="M62"/>
    </row>
    <row r="63" spans="1:13" ht="13.5" thickBot="1">
      <c r="A63" s="345"/>
      <c r="B63" s="73" t="s">
        <v>136</v>
      </c>
      <c r="C63" s="335"/>
      <c r="D63" s="336"/>
      <c r="E63" s="335"/>
      <c r="F63" s="2"/>
      <c r="G63" s="344" t="str">
        <f>IF(NOT(I$9=9)," ",IF(OR(C63&lt;(E$10-E$11),E63&lt;(E$10-E$11)),"","INPUT ERROR !!"))</f>
        <v> </v>
      </c>
      <c r="H63" s="2"/>
      <c r="I63" s="2"/>
      <c r="J63" s="99"/>
      <c r="M63"/>
    </row>
    <row r="64" spans="1:14" ht="12.75">
      <c r="A64" s="346"/>
      <c r="B64" s="347" t="s">
        <v>123</v>
      </c>
      <c r="C64" s="90"/>
      <c r="D64" s="90"/>
      <c r="E64" s="90"/>
      <c r="F64" s="90"/>
      <c r="G64" s="90"/>
      <c r="H64" s="90"/>
      <c r="I64" s="90"/>
      <c r="J64" s="164"/>
      <c r="K64"/>
      <c r="L64"/>
      <c r="M64"/>
      <c r="N64"/>
    </row>
    <row r="65" spans="1:10" ht="13.5" thickBot="1">
      <c r="A65" s="152"/>
      <c r="B65" s="2"/>
      <c r="C65" s="2"/>
      <c r="D65" s="2"/>
      <c r="E65" s="344"/>
      <c r="F65" s="2"/>
      <c r="G65" s="2"/>
      <c r="H65" s="2"/>
      <c r="I65" s="2"/>
      <c r="J65" s="99"/>
    </row>
    <row r="66" spans="1:12" ht="12.75">
      <c r="A66" s="152" t="s">
        <v>303</v>
      </c>
      <c r="B66" s="2"/>
      <c r="C66" s="2"/>
      <c r="D66" s="2"/>
      <c r="E66" s="765"/>
      <c r="F66" s="216" t="s">
        <v>300</v>
      </c>
      <c r="G66" s="766"/>
      <c r="H66" s="90"/>
      <c r="I66" s="90"/>
      <c r="J66" s="164"/>
      <c r="K66"/>
      <c r="L66"/>
    </row>
    <row r="67" spans="1:12" ht="13.5" thickBot="1">
      <c r="A67" s="152"/>
      <c r="B67" s="2"/>
      <c r="C67" s="2"/>
      <c r="D67" s="2"/>
      <c r="E67" s="324" t="s">
        <v>127</v>
      </c>
      <c r="F67" s="325"/>
      <c r="G67" s="326"/>
      <c r="H67" s="812" t="s">
        <v>296</v>
      </c>
      <c r="I67" s="330"/>
      <c r="J67" s="750"/>
      <c r="K67"/>
      <c r="L67"/>
    </row>
    <row r="68" spans="1:12" ht="12.75">
      <c r="A68" s="771" t="s">
        <v>320</v>
      </c>
      <c r="B68" s="2"/>
      <c r="C68" s="2"/>
      <c r="D68" s="2"/>
      <c r="E68" s="319" t="s">
        <v>76</v>
      </c>
      <c r="F68" s="320"/>
      <c r="G68" s="321" t="s">
        <v>76</v>
      </c>
      <c r="H68" s="812" t="s">
        <v>297</v>
      </c>
      <c r="I68" s="330"/>
      <c r="J68" s="750"/>
      <c r="K68"/>
      <c r="L68"/>
    </row>
    <row r="69" spans="1:12" ht="13.5" thickBot="1">
      <c r="A69" s="86" t="s">
        <v>304</v>
      </c>
      <c r="B69" s="2"/>
      <c r="C69" s="2"/>
      <c r="D69" s="2"/>
      <c r="E69" s="322" t="s">
        <v>148</v>
      </c>
      <c r="F69" s="163"/>
      <c r="G69" s="323" t="s">
        <v>149</v>
      </c>
      <c r="H69" s="812"/>
      <c r="I69" s="115" t="s">
        <v>298</v>
      </c>
      <c r="J69" s="750"/>
      <c r="K69"/>
      <c r="L69"/>
    </row>
    <row r="70" spans="1:12" ht="14.25">
      <c r="A70" s="152"/>
      <c r="B70" s="54" t="s">
        <v>319</v>
      </c>
      <c r="C70" s="755">
        <f>IF(OR(I9=1,I9=4),MAX(I70:I82),"")</f>
        <v>0.09999999999999998</v>
      </c>
      <c r="D70" s="2"/>
      <c r="E70" s="767">
        <f aca="true" t="shared" si="2" ref="E70:E79">IF(J70&lt;E$10+0.1,E71+E39/E$52,"")</f>
      </c>
      <c r="F70" s="459">
        <f aca="true" t="shared" si="3" ref="F70:F78">IF(J70&lt;E$10+0.1,J70,"")</f>
      </c>
      <c r="G70" s="768">
        <f aca="true" t="shared" si="4" ref="G70:G79">IF(J70&lt;E$10+0.1,G71+G39/G$52,"")</f>
      </c>
      <c r="H70" s="813">
        <f aca="true" t="shared" si="5" ref="H70:H81">IF(AND(F39&gt;0.9,F39&lt;$E$10+0.1,I70&gt;0.001),IF(E70&gt;G70,"B","A"),"")</f>
      </c>
      <c r="I70" s="751">
        <f aca="true" t="shared" si="6" ref="I70:I81">IF(AND(F39&gt;0.9,F39&lt;$E$10+0.1),ABS(E70-G70),"")</f>
      </c>
      <c r="J70" s="818">
        <v>12</v>
      </c>
      <c r="K70"/>
      <c r="L70"/>
    </row>
    <row r="71" spans="1:12" ht="13.5" thickBot="1">
      <c r="A71" s="152"/>
      <c r="B71" s="54" t="s">
        <v>302</v>
      </c>
      <c r="C71" s="756">
        <f>IF(OR(I9=1,I9=4),4*C70*C70*G24*G27/(G24+G27),"")</f>
        <v>1.9999999999999991</v>
      </c>
      <c r="D71" s="2"/>
      <c r="E71" s="767">
        <f t="shared" si="2"/>
      </c>
      <c r="F71" s="459">
        <f t="shared" si="3"/>
      </c>
      <c r="G71" s="768">
        <f t="shared" si="4"/>
      </c>
      <c r="H71" s="813">
        <f t="shared" si="5"/>
      </c>
      <c r="I71" s="752">
        <f t="shared" si="6"/>
      </c>
      <c r="J71" s="818">
        <v>11</v>
      </c>
      <c r="K71"/>
      <c r="L71"/>
    </row>
    <row r="72" spans="1:15" ht="13.5" thickBot="1">
      <c r="A72" s="86"/>
      <c r="B72" s="53"/>
      <c r="C72" s="777" t="str">
        <f>IF(OR(I9=1,I9=4),IF(CHIDIST(C71,2)&gt;0.05,"NS",""),"")</f>
        <v>NS</v>
      </c>
      <c r="D72" s="2"/>
      <c r="E72" s="767">
        <f t="shared" si="2"/>
      </c>
      <c r="F72" s="459">
        <f t="shared" si="3"/>
      </c>
      <c r="G72" s="768">
        <f t="shared" si="4"/>
      </c>
      <c r="H72" s="813">
        <f t="shared" si="5"/>
      </c>
      <c r="I72" s="752">
        <f t="shared" si="6"/>
      </c>
      <c r="J72" s="818">
        <v>10</v>
      </c>
      <c r="K72"/>
      <c r="L72"/>
      <c r="M72" s="287"/>
      <c r="N72" s="11"/>
      <c r="O72" s="115"/>
    </row>
    <row r="73" spans="1:12" ht="12.75">
      <c r="A73" s="778" t="s">
        <v>299</v>
      </c>
      <c r="B73" s="779"/>
      <c r="C73" s="773">
        <f>IF(OR(I9=1,I9=4),IF(CHIDIST(C$71,2)&gt;0.000999,CHIDIST(C$71,2),""),"")</f>
        <v>0.36787945119283927</v>
      </c>
      <c r="D73" s="2"/>
      <c r="E73" s="767">
        <f t="shared" si="2"/>
      </c>
      <c r="F73" s="459">
        <f t="shared" si="3"/>
      </c>
      <c r="G73" s="768">
        <f t="shared" si="4"/>
      </c>
      <c r="H73" s="813">
        <f t="shared" si="5"/>
      </c>
      <c r="I73" s="752">
        <f t="shared" si="6"/>
      </c>
      <c r="J73" s="818">
        <v>9</v>
      </c>
      <c r="K73"/>
      <c r="L73" s="90"/>
    </row>
    <row r="74" spans="1:12" ht="13.5" thickBot="1">
      <c r="A74" s="780"/>
      <c r="B74" s="779"/>
      <c r="C74" s="816">
        <f>IF(OR(I9=1,I9=4),IF(CHIDIST(C$71,2)&lt;0.001,"P1&lt;0,001",""),"")</f>
      </c>
      <c r="D74" s="2"/>
      <c r="E74" s="767">
        <f t="shared" si="2"/>
      </c>
      <c r="F74" s="459">
        <f t="shared" si="3"/>
      </c>
      <c r="G74" s="768">
        <f t="shared" si="4"/>
      </c>
      <c r="H74" s="813">
        <f t="shared" si="5"/>
      </c>
      <c r="I74" s="752">
        <f t="shared" si="6"/>
      </c>
      <c r="J74" s="818">
        <v>8</v>
      </c>
      <c r="K74"/>
      <c r="L74" s="90"/>
    </row>
    <row r="75" spans="1:12" ht="12.75">
      <c r="A75" s="152"/>
      <c r="B75" s="2"/>
      <c r="C75" s="2"/>
      <c r="D75" s="2"/>
      <c r="E75" s="767">
        <f t="shared" si="2"/>
      </c>
      <c r="F75" s="459">
        <f t="shared" si="3"/>
      </c>
      <c r="G75" s="768">
        <f t="shared" si="4"/>
      </c>
      <c r="H75" s="813">
        <f t="shared" si="5"/>
      </c>
      <c r="I75" s="752">
        <f t="shared" si="6"/>
      </c>
      <c r="J75" s="818">
        <v>7</v>
      </c>
      <c r="K75"/>
      <c r="L75" s="90"/>
    </row>
    <row r="76" spans="1:12" ht="12.75" customHeight="1">
      <c r="A76" s="832">
        <f>IF(AND(G24&gt;40,G27&gt;40),"","EXACT CRITICAL VALUES ARE TO BE PREFERRED")</f>
      </c>
      <c r="B76" s="833"/>
      <c r="C76" s="833"/>
      <c r="D76" s="2"/>
      <c r="E76" s="767">
        <f t="shared" si="2"/>
      </c>
      <c r="F76" s="459">
        <f t="shared" si="3"/>
      </c>
      <c r="G76" s="768">
        <f t="shared" si="4"/>
      </c>
      <c r="H76" s="813">
        <f t="shared" si="5"/>
      </c>
      <c r="I76" s="752">
        <f t="shared" si="6"/>
      </c>
      <c r="J76" s="818">
        <v>6</v>
      </c>
      <c r="K76"/>
      <c r="L76"/>
    </row>
    <row r="77" spans="1:13" ht="12.75">
      <c r="A77" s="832"/>
      <c r="B77" s="833"/>
      <c r="C77" s="833"/>
      <c r="D77" s="2"/>
      <c r="E77" s="767">
        <f t="shared" si="2"/>
      </c>
      <c r="F77" s="459">
        <f t="shared" si="3"/>
      </c>
      <c r="G77" s="768">
        <f t="shared" si="4"/>
      </c>
      <c r="H77" s="813">
        <f t="shared" si="5"/>
      </c>
      <c r="I77" s="752">
        <f t="shared" si="6"/>
      </c>
      <c r="J77" s="818">
        <v>5</v>
      </c>
      <c r="K77"/>
      <c r="L77"/>
      <c r="M77" s="819"/>
    </row>
    <row r="78" spans="1:12" ht="12.75">
      <c r="A78" s="832"/>
      <c r="B78" s="833"/>
      <c r="C78" s="833"/>
      <c r="D78" s="2"/>
      <c r="E78" s="767">
        <f t="shared" si="2"/>
      </c>
      <c r="F78" s="459">
        <f t="shared" si="3"/>
      </c>
      <c r="G78" s="768">
        <f t="shared" si="4"/>
      </c>
      <c r="H78" s="813">
        <f t="shared" si="5"/>
      </c>
      <c r="I78" s="752">
        <f t="shared" si="6"/>
      </c>
      <c r="J78" s="818">
        <v>4</v>
      </c>
      <c r="K78"/>
      <c r="L78" s="2"/>
    </row>
    <row r="79" spans="1:12" ht="12.75">
      <c r="A79" s="152"/>
      <c r="B79" s="2"/>
      <c r="C79" s="2"/>
      <c r="D79" s="2"/>
      <c r="E79" s="767">
        <f t="shared" si="2"/>
        <v>1</v>
      </c>
      <c r="F79" s="459">
        <f>IF(J79&lt;E$10+0.1,J79,"")</f>
        <v>3</v>
      </c>
      <c r="G79" s="768">
        <f t="shared" si="4"/>
        <v>1</v>
      </c>
      <c r="H79" s="813">
        <f t="shared" si="5"/>
      </c>
      <c r="I79" s="752">
        <f t="shared" si="6"/>
        <v>0</v>
      </c>
      <c r="J79" s="818">
        <v>3</v>
      </c>
      <c r="K79"/>
      <c r="L79" s="12"/>
    </row>
    <row r="80" spans="1:12" ht="12.75">
      <c r="A80" s="152"/>
      <c r="B80" s="2"/>
      <c r="C80" s="2"/>
      <c r="D80" s="2"/>
      <c r="E80" s="767">
        <f>E81+E49/E$52</f>
        <v>0.5</v>
      </c>
      <c r="F80" s="459">
        <v>2</v>
      </c>
      <c r="G80" s="768">
        <f>G81+G49/G$52</f>
        <v>0.4</v>
      </c>
      <c r="H80" s="813" t="str">
        <f t="shared" si="5"/>
        <v>B</v>
      </c>
      <c r="I80" s="752">
        <f t="shared" si="6"/>
        <v>0.09999999999999998</v>
      </c>
      <c r="J80" s="818">
        <v>2</v>
      </c>
      <c r="K80"/>
      <c r="L80" s="287"/>
    </row>
    <row r="81" spans="1:12" ht="12.75">
      <c r="A81" s="152"/>
      <c r="B81" s="2"/>
      <c r="C81" s="2"/>
      <c r="D81" s="2"/>
      <c r="E81" s="767">
        <f>IF(E11=0,E82+E50/E52,E50/E52)</f>
        <v>0.3</v>
      </c>
      <c r="F81" s="459">
        <v>1</v>
      </c>
      <c r="G81" s="768">
        <f>IF(E11=0,G82+G50/G52,G50/G52)</f>
        <v>0.2</v>
      </c>
      <c r="H81" s="813" t="str">
        <f t="shared" si="5"/>
        <v>B</v>
      </c>
      <c r="I81" s="752">
        <f t="shared" si="6"/>
        <v>0.09999999999999998</v>
      </c>
      <c r="J81" s="818">
        <v>1</v>
      </c>
      <c r="K81"/>
      <c r="L81" s="287"/>
    </row>
    <row r="82" spans="1:12" ht="13.5" thickBot="1">
      <c r="A82" s="152"/>
      <c r="B82" s="2"/>
      <c r="C82" s="2"/>
      <c r="D82" s="2"/>
      <c r="E82" s="769">
        <f>IF(E11=0,E51/E52,"")</f>
      </c>
      <c r="F82" s="470">
        <f>IF(E11=0,"0","")</f>
      </c>
      <c r="G82" s="820">
        <f>IF(E11=0,G51/G52,"")</f>
      </c>
      <c r="H82" s="813">
        <f>IF(E11=0,IF(E82&gt;G82,"B","A"),"")</f>
      </c>
      <c r="I82" s="753">
        <f>IF(E11=0,ABS(E82-G82),"")</f>
      </c>
      <c r="J82" s="818"/>
      <c r="K82"/>
      <c r="L82" s="287"/>
    </row>
    <row r="83" spans="1:12" ht="12.75">
      <c r="A83" s="152"/>
      <c r="B83" s="2"/>
      <c r="C83" s="2"/>
      <c r="D83" s="2"/>
      <c r="E83" s="754"/>
      <c r="F83" s="754"/>
      <c r="G83" s="754"/>
      <c r="H83" s="188"/>
      <c r="I83" s="330"/>
      <c r="J83" s="750"/>
      <c r="K83" s="90"/>
      <c r="L83" s="287"/>
    </row>
    <row r="84" spans="1:12" ht="13.5" thickBot="1">
      <c r="A84" s="772"/>
      <c r="B84" s="314"/>
      <c r="C84" s="314"/>
      <c r="D84" s="314"/>
      <c r="E84" s="314"/>
      <c r="F84" s="757"/>
      <c r="G84" s="757"/>
      <c r="H84" s="758" t="s">
        <v>1</v>
      </c>
      <c r="I84" s="484"/>
      <c r="J84" s="538" t="s">
        <v>324</v>
      </c>
      <c r="K84" s="2"/>
      <c r="L84" s="287"/>
    </row>
    <row r="85" spans="1:18" s="11" customFormat="1" ht="13.5" thickTop="1">
      <c r="A85"/>
      <c r="B85" s="497"/>
      <c r="C85" s="498"/>
      <c r="D85" s="774"/>
      <c r="E85" s="194"/>
      <c r="F85" s="194"/>
      <c r="G85" s="287"/>
      <c r="H85" s="12"/>
      <c r="I85" s="287"/>
      <c r="J85" s="287"/>
      <c r="K85" s="287"/>
      <c r="L85" s="287"/>
      <c r="M85" s="287"/>
      <c r="O85" s="115"/>
      <c r="Q85" s="287"/>
      <c r="R85" s="287"/>
    </row>
    <row r="86" spans="1:18" s="11" customFormat="1" ht="12.75">
      <c r="A86" s="287"/>
      <c r="B86" s="287"/>
      <c r="C86" s="287"/>
      <c r="D86" s="287"/>
      <c r="E86" s="287"/>
      <c r="F86" s="287"/>
      <c r="G86" s="287"/>
      <c r="H86" s="12"/>
      <c r="I86" s="287"/>
      <c r="J86" s="287"/>
      <c r="K86" s="287"/>
      <c r="L86" s="287"/>
      <c r="M86" s="287"/>
      <c r="O86" s="115"/>
      <c r="Q86" s="287"/>
      <c r="R86" s="287"/>
    </row>
    <row r="87" spans="2:18" s="11" customFormat="1" ht="12.75">
      <c r="B87" s="287"/>
      <c r="C87" s="287"/>
      <c r="D87" s="287"/>
      <c r="E87" s="287"/>
      <c r="F87" s="287"/>
      <c r="G87" s="287"/>
      <c r="H87" s="12"/>
      <c r="I87" s="287"/>
      <c r="J87" s="287"/>
      <c r="K87" s="287"/>
      <c r="L87" s="287"/>
      <c r="M87" s="287"/>
      <c r="O87" s="115"/>
      <c r="Q87" s="287"/>
      <c r="R87" s="287"/>
    </row>
    <row r="88" spans="1:18" s="11" customFormat="1" ht="12.75">
      <c r="A88" s="287"/>
      <c r="B88" s="287"/>
      <c r="C88" s="287"/>
      <c r="D88" s="287"/>
      <c r="E88" s="287"/>
      <c r="F88" s="287"/>
      <c r="G88" s="287"/>
      <c r="H88" s="12"/>
      <c r="I88" s="287"/>
      <c r="J88" s="287"/>
      <c r="K88" s="287"/>
      <c r="L88" s="287"/>
      <c r="M88" s="287"/>
      <c r="O88" s="115"/>
      <c r="Q88" s="287"/>
      <c r="R88" s="287"/>
    </row>
    <row r="89" spans="1:18" s="11" customFormat="1" ht="12.75">
      <c r="A89" s="287"/>
      <c r="B89" s="287"/>
      <c r="C89" s="287"/>
      <c r="D89" s="287"/>
      <c r="E89" s="287"/>
      <c r="F89" s="287"/>
      <c r="G89" s="287"/>
      <c r="H89" s="12"/>
      <c r="I89" s="287"/>
      <c r="J89" s="287"/>
      <c r="K89" s="287"/>
      <c r="L89" s="287"/>
      <c r="M89" s="287"/>
      <c r="O89" s="115"/>
      <c r="Q89" s="287"/>
      <c r="R89" s="287"/>
    </row>
    <row r="90" spans="4:18" s="11" customFormat="1" ht="12.75">
      <c r="D90" s="287"/>
      <c r="E90" s="287"/>
      <c r="F90" s="287"/>
      <c r="G90" s="287"/>
      <c r="H90" s="12"/>
      <c r="I90" s="287"/>
      <c r="J90" s="287"/>
      <c r="K90" s="287"/>
      <c r="L90" s="287"/>
      <c r="M90" s="287"/>
      <c r="O90" s="115"/>
      <c r="Q90" s="287"/>
      <c r="R90" s="287"/>
    </row>
    <row r="91" spans="4:18" s="11" customFormat="1" ht="12.75">
      <c r="D91" s="287"/>
      <c r="E91" s="287"/>
      <c r="F91" s="287"/>
      <c r="G91" s="287"/>
      <c r="H91" s="12"/>
      <c r="I91" s="287"/>
      <c r="J91" s="287"/>
      <c r="K91" s="287"/>
      <c r="L91" s="287"/>
      <c r="M91" s="287"/>
      <c r="O91" s="115"/>
      <c r="Q91" s="287"/>
      <c r="R91" s="287"/>
    </row>
    <row r="92" spans="4:18" s="11" customFormat="1" ht="12.75">
      <c r="D92" s="287"/>
      <c r="E92" s="287"/>
      <c r="F92" s="287"/>
      <c r="G92" s="287"/>
      <c r="H92" s="12"/>
      <c r="I92" s="287"/>
      <c r="J92" s="287"/>
      <c r="K92" s="287"/>
      <c r="L92" s="287"/>
      <c r="M92" s="287"/>
      <c r="O92" s="115"/>
      <c r="Q92" s="287"/>
      <c r="R92" s="287"/>
    </row>
    <row r="93" spans="1:18" s="11" customFormat="1" ht="12.75">
      <c r="A93" s="287"/>
      <c r="B93" s="287"/>
      <c r="C93" s="287"/>
      <c r="D93" s="287"/>
      <c r="E93" s="287"/>
      <c r="F93" s="287"/>
      <c r="G93" s="287"/>
      <c r="H93" s="12"/>
      <c r="I93" s="287"/>
      <c r="J93" s="287"/>
      <c r="K93" s="287"/>
      <c r="L93" s="287"/>
      <c r="M93" s="287"/>
      <c r="O93" s="115"/>
      <c r="Q93" s="287"/>
      <c r="R93" s="287"/>
    </row>
    <row r="94" spans="1:18" s="11" customFormat="1" ht="12.75">
      <c r="A94" s="287"/>
      <c r="B94" s="287"/>
      <c r="C94" s="287"/>
      <c r="D94" s="287"/>
      <c r="E94" s="287"/>
      <c r="F94" s="287"/>
      <c r="G94" s="287"/>
      <c r="H94" s="12"/>
      <c r="I94" s="287"/>
      <c r="J94" s="287"/>
      <c r="K94" s="287"/>
      <c r="L94" s="287"/>
      <c r="M94" s="287"/>
      <c r="O94" s="115"/>
      <c r="Q94" s="287"/>
      <c r="R94" s="287"/>
    </row>
    <row r="95" spans="1:18" s="11" customFormat="1" ht="12.75">
      <c r="A95" s="287"/>
      <c r="B95" s="287"/>
      <c r="C95" s="287"/>
      <c r="D95" s="287"/>
      <c r="E95" s="287"/>
      <c r="F95" s="287"/>
      <c r="G95" s="287"/>
      <c r="H95" s="12"/>
      <c r="I95" s="287"/>
      <c r="J95" s="287"/>
      <c r="K95" s="287"/>
      <c r="L95" s="287"/>
      <c r="M95" s="287"/>
      <c r="O95" s="115"/>
      <c r="Q95" s="287"/>
      <c r="R95" s="287"/>
    </row>
    <row r="96" spans="1:18" s="11" customFormat="1" ht="12.75">
      <c r="A96" s="287"/>
      <c r="B96" s="287"/>
      <c r="C96" s="287"/>
      <c r="D96" s="287"/>
      <c r="E96" s="287"/>
      <c r="F96" s="287"/>
      <c r="G96" s="287"/>
      <c r="H96" s="12"/>
      <c r="I96" s="287"/>
      <c r="J96" s="287"/>
      <c r="K96" s="287"/>
      <c r="L96" s="287"/>
      <c r="M96" s="287"/>
      <c r="O96" s="115"/>
      <c r="Q96" s="287"/>
      <c r="R96" s="287"/>
    </row>
  </sheetData>
  <sheetProtection password="C550" sheet="1" objects="1" scenarios="1"/>
  <mergeCells count="4">
    <mergeCell ref="A76:C78"/>
    <mergeCell ref="B16:G16"/>
    <mergeCell ref="B17:G17"/>
    <mergeCell ref="C5:D5"/>
  </mergeCells>
  <printOptions horizontalCentered="1" verticalCentered="1"/>
  <pageMargins left="0.7480314960629921" right="0.7480314960629921" top="0.5905511811023623" bottom="0.5905511811023623" header="0.5118110236220472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78"/>
  <sheetViews>
    <sheetView showGridLines="0" zoomScale="105" zoomScaleNormal="105" zoomScalePageLayoutView="0" workbookViewId="0" topLeftCell="A19">
      <selection activeCell="B36" sqref="B36"/>
    </sheetView>
  </sheetViews>
  <sheetFormatPr defaultColWidth="9.00390625" defaultRowHeight="12.75"/>
  <cols>
    <col min="1" max="1" width="3.875" style="0" customWidth="1"/>
  </cols>
  <sheetData>
    <row r="1" spans="1:10" ht="14.25" thickBot="1" thickTop="1">
      <c r="A1" s="842" t="s">
        <v>246</v>
      </c>
      <c r="B1" s="843"/>
      <c r="C1" s="843"/>
      <c r="D1" s="843"/>
      <c r="E1" s="843"/>
      <c r="F1" s="843"/>
      <c r="G1" s="843"/>
      <c r="H1" s="843"/>
      <c r="I1" s="844"/>
      <c r="J1" s="1"/>
    </row>
    <row r="2" spans="1:11" ht="12.75">
      <c r="A2" s="34"/>
      <c r="B2" s="13" t="s">
        <v>1</v>
      </c>
      <c r="C2" s="6"/>
      <c r="D2" s="6"/>
      <c r="E2" s="6"/>
      <c r="F2" s="6"/>
      <c r="G2" s="4"/>
      <c r="H2" s="4"/>
      <c r="I2" s="54" t="s">
        <v>273</v>
      </c>
      <c r="J2" s="2"/>
      <c r="K2" s="534"/>
    </row>
    <row r="3" spans="1:10" ht="12.75">
      <c r="A3" s="6"/>
      <c r="B3" s="13"/>
      <c r="C3" s="6"/>
      <c r="D3" s="6"/>
      <c r="E3" s="6"/>
      <c r="F3" s="6"/>
      <c r="G3" s="4"/>
      <c r="H3" s="4"/>
      <c r="I3" s="4"/>
      <c r="J3" s="2"/>
    </row>
    <row r="4" spans="1:10" ht="12.75">
      <c r="A4" s="535" t="s">
        <v>24</v>
      </c>
      <c r="B4" s="536"/>
      <c r="C4" s="68"/>
      <c r="D4" s="68"/>
      <c r="E4" s="68"/>
      <c r="F4" s="68"/>
      <c r="G4" s="4"/>
      <c r="H4" s="4"/>
      <c r="I4" s="4"/>
      <c r="J4" s="2"/>
    </row>
    <row r="5" spans="1:10" ht="12.75">
      <c r="A5" s="2"/>
      <c r="B5" s="6" t="s">
        <v>164</v>
      </c>
      <c r="C5" s="13"/>
      <c r="D5" s="6"/>
      <c r="E5" s="6"/>
      <c r="F5" s="6"/>
      <c r="G5" s="4"/>
      <c r="H5" s="4"/>
      <c r="I5" s="4"/>
      <c r="J5" s="2"/>
    </row>
    <row r="6" spans="1:10" ht="12.75">
      <c r="A6" s="2"/>
      <c r="B6" s="6" t="s">
        <v>165</v>
      </c>
      <c r="C6" s="13"/>
      <c r="D6" s="6"/>
      <c r="E6" s="6"/>
      <c r="F6" s="6"/>
      <c r="G6" s="4"/>
      <c r="H6" s="4"/>
      <c r="I6" s="4"/>
      <c r="J6" s="2"/>
    </row>
    <row r="7" spans="1:10" ht="12.75">
      <c r="A7" s="2"/>
      <c r="B7" s="6" t="s">
        <v>260</v>
      </c>
      <c r="C7" s="13"/>
      <c r="D7" s="6"/>
      <c r="E7" s="6"/>
      <c r="F7" s="6"/>
      <c r="G7" s="4"/>
      <c r="H7" s="4"/>
      <c r="I7" s="4"/>
      <c r="J7" s="2"/>
    </row>
    <row r="8" spans="1:10" ht="12.75">
      <c r="A8" s="2"/>
      <c r="B8" s="6" t="s">
        <v>261</v>
      </c>
      <c r="C8" s="13"/>
      <c r="D8" s="6"/>
      <c r="E8" s="6"/>
      <c r="F8" s="6"/>
      <c r="G8" s="4"/>
      <c r="H8" s="4"/>
      <c r="I8" s="4"/>
      <c r="J8" s="2"/>
    </row>
    <row r="9" spans="1:10" ht="12.75">
      <c r="A9" s="2"/>
      <c r="B9" s="6" t="s">
        <v>259</v>
      </c>
      <c r="C9" s="13"/>
      <c r="D9" s="6"/>
      <c r="E9" s="6"/>
      <c r="F9" s="6"/>
      <c r="G9" s="4"/>
      <c r="H9" s="4"/>
      <c r="I9" s="4"/>
      <c r="J9" s="2"/>
    </row>
    <row r="10" spans="1:10" ht="12.75">
      <c r="A10" s="2"/>
      <c r="B10" s="6" t="s">
        <v>73</v>
      </c>
      <c r="C10" s="13"/>
      <c r="D10" s="6"/>
      <c r="E10" s="6"/>
      <c r="F10" s="6"/>
      <c r="G10" s="4"/>
      <c r="H10" s="4"/>
      <c r="I10" s="4"/>
      <c r="J10" s="2"/>
    </row>
    <row r="11" spans="1:10" ht="12.75">
      <c r="A11" s="2"/>
      <c r="B11" s="6" t="s">
        <v>150</v>
      </c>
      <c r="C11" s="13"/>
      <c r="D11" s="6"/>
      <c r="E11" s="6"/>
      <c r="F11" s="6"/>
      <c r="G11" s="4"/>
      <c r="H11" s="4"/>
      <c r="I11" s="4"/>
      <c r="J11" s="2"/>
    </row>
    <row r="12" spans="1:10" ht="12.75">
      <c r="A12" s="2"/>
      <c r="B12" s="6" t="s">
        <v>151</v>
      </c>
      <c r="C12" s="13"/>
      <c r="D12" s="6"/>
      <c r="E12" s="6"/>
      <c r="F12" s="6"/>
      <c r="G12" s="4"/>
      <c r="H12" s="4"/>
      <c r="I12" s="4"/>
      <c r="J12" s="2"/>
    </row>
    <row r="13" spans="1:10" ht="12.75">
      <c r="A13" s="2"/>
      <c r="B13" s="6" t="s">
        <v>258</v>
      </c>
      <c r="C13" s="13"/>
      <c r="D13" s="6"/>
      <c r="E13" s="6"/>
      <c r="F13" s="6"/>
      <c r="G13" s="4"/>
      <c r="H13" s="4"/>
      <c r="I13" s="4"/>
      <c r="J13" s="2"/>
    </row>
    <row r="14" spans="1:10" ht="12.75">
      <c r="A14" s="2"/>
      <c r="B14" s="6" t="s">
        <v>152</v>
      </c>
      <c r="C14" s="13"/>
      <c r="D14" s="6"/>
      <c r="E14" s="6"/>
      <c r="F14" s="6"/>
      <c r="G14" s="4"/>
      <c r="H14" s="4"/>
      <c r="I14" s="4"/>
      <c r="J14" s="2"/>
    </row>
    <row r="15" spans="1:10" ht="12.75">
      <c r="A15" s="2"/>
      <c r="B15" s="6" t="s">
        <v>153</v>
      </c>
      <c r="C15" s="13"/>
      <c r="D15" s="6"/>
      <c r="E15" s="6"/>
      <c r="F15" s="6"/>
      <c r="G15" s="4"/>
      <c r="H15" s="4"/>
      <c r="I15" s="4"/>
      <c r="J15" s="2"/>
    </row>
    <row r="16" spans="1:10" ht="12.75">
      <c r="A16" s="2"/>
      <c r="B16" s="6" t="s">
        <v>11</v>
      </c>
      <c r="C16" s="13"/>
      <c r="D16" s="6"/>
      <c r="E16" s="6"/>
      <c r="F16" s="6"/>
      <c r="G16" s="4"/>
      <c r="H16" s="4"/>
      <c r="I16" s="4"/>
      <c r="J16" s="2"/>
    </row>
    <row r="17" spans="1:10" ht="12.75">
      <c r="A17" s="2"/>
      <c r="B17" s="6" t="s">
        <v>79</v>
      </c>
      <c r="C17" s="13"/>
      <c r="D17" s="6"/>
      <c r="E17" s="6"/>
      <c r="F17" s="6"/>
      <c r="G17" s="4"/>
      <c r="H17" s="4"/>
      <c r="I17" s="4"/>
      <c r="J17" s="2"/>
    </row>
    <row r="18" spans="1:10" ht="12.75">
      <c r="A18" s="2"/>
      <c r="B18" s="6" t="s">
        <v>158</v>
      </c>
      <c r="C18" s="13"/>
      <c r="D18" s="6"/>
      <c r="E18" s="6"/>
      <c r="F18" s="6"/>
      <c r="G18" s="4"/>
      <c r="H18" s="4"/>
      <c r="I18" s="4"/>
      <c r="J18" s="2"/>
    </row>
    <row r="19" spans="1:10" ht="12.75">
      <c r="A19" s="2"/>
      <c r="B19" s="6" t="s">
        <v>154</v>
      </c>
      <c r="C19" s="13"/>
      <c r="D19" s="6"/>
      <c r="E19" s="6"/>
      <c r="F19" s="6"/>
      <c r="G19" s="4"/>
      <c r="H19" s="4"/>
      <c r="I19" s="4"/>
      <c r="J19" s="2"/>
    </row>
    <row r="20" spans="1:10" ht="12.75">
      <c r="A20" s="2"/>
      <c r="B20" s="6" t="s">
        <v>166</v>
      </c>
      <c r="C20" s="13"/>
      <c r="D20" s="6"/>
      <c r="E20" s="6"/>
      <c r="F20" s="6"/>
      <c r="G20" s="4"/>
      <c r="H20" s="4"/>
      <c r="I20" s="4"/>
      <c r="J20" s="2"/>
    </row>
    <row r="21" spans="1:10" ht="12.75">
      <c r="A21" s="2"/>
      <c r="B21" s="6" t="s">
        <v>155</v>
      </c>
      <c r="C21" s="13"/>
      <c r="D21" s="6"/>
      <c r="E21" s="6"/>
      <c r="F21" s="6"/>
      <c r="G21" s="4"/>
      <c r="H21" s="4"/>
      <c r="I21" s="4"/>
      <c r="J21" s="2"/>
    </row>
    <row r="22" spans="1:10" ht="12.75">
      <c r="A22" s="2"/>
      <c r="B22" s="6" t="s">
        <v>156</v>
      </c>
      <c r="C22" s="13"/>
      <c r="D22" s="6"/>
      <c r="E22" s="6"/>
      <c r="F22" s="6"/>
      <c r="G22" s="4"/>
      <c r="H22" s="4"/>
      <c r="I22" s="4"/>
      <c r="J22" s="2"/>
    </row>
    <row r="23" spans="1:10" ht="12.75">
      <c r="A23" s="2"/>
      <c r="B23" s="6" t="s">
        <v>159</v>
      </c>
      <c r="C23" s="13"/>
      <c r="D23" s="6"/>
      <c r="E23" s="6"/>
      <c r="F23" s="6"/>
      <c r="G23" s="4"/>
      <c r="H23" s="4"/>
      <c r="I23" s="4"/>
      <c r="J23" s="2"/>
    </row>
    <row r="24" spans="1:10" ht="12.75">
      <c r="A24" s="2"/>
      <c r="B24" s="6" t="s">
        <v>34</v>
      </c>
      <c r="C24" s="13"/>
      <c r="D24" s="6"/>
      <c r="E24" s="6"/>
      <c r="F24" s="6"/>
      <c r="G24" s="4"/>
      <c r="H24" s="4"/>
      <c r="I24" s="4"/>
      <c r="J24" s="2"/>
    </row>
    <row r="25" spans="1:10" ht="12.75">
      <c r="A25" s="2"/>
      <c r="B25" s="6" t="s">
        <v>75</v>
      </c>
      <c r="C25" s="13"/>
      <c r="D25" s="6"/>
      <c r="E25" s="6"/>
      <c r="F25" s="6"/>
      <c r="G25" s="4"/>
      <c r="H25" s="4"/>
      <c r="I25" s="4"/>
      <c r="J25" s="2"/>
    </row>
    <row r="26" spans="1:10" ht="12.75">
      <c r="A26" s="2"/>
      <c r="B26" s="6" t="s">
        <v>167</v>
      </c>
      <c r="C26" s="13"/>
      <c r="D26" s="6"/>
      <c r="E26" s="6"/>
      <c r="F26" s="6"/>
      <c r="G26" s="4"/>
      <c r="H26" s="4"/>
      <c r="I26" s="4"/>
      <c r="J26" s="2"/>
    </row>
    <row r="27" spans="1:10" ht="12.75">
      <c r="A27" s="2"/>
      <c r="B27" s="6" t="s">
        <v>29</v>
      </c>
      <c r="C27" s="13"/>
      <c r="D27" s="6"/>
      <c r="E27" s="6"/>
      <c r="F27" s="6"/>
      <c r="G27" s="4"/>
      <c r="H27" s="4"/>
      <c r="I27" s="4"/>
      <c r="J27" s="2"/>
    </row>
    <row r="28" spans="1:10" ht="12.75">
      <c r="A28" s="2"/>
      <c r="B28" s="6" t="s">
        <v>157</v>
      </c>
      <c r="C28" s="13"/>
      <c r="D28" s="6"/>
      <c r="E28" s="6"/>
      <c r="F28" s="6"/>
      <c r="G28" s="4"/>
      <c r="H28" s="4"/>
      <c r="I28" s="4"/>
      <c r="J28" s="2"/>
    </row>
    <row r="29" spans="1:10" ht="12.75">
      <c r="A29" s="2"/>
      <c r="B29" s="6" t="s">
        <v>160</v>
      </c>
      <c r="C29" s="13"/>
      <c r="D29" s="6"/>
      <c r="E29" s="6"/>
      <c r="F29" s="6"/>
      <c r="G29" s="4"/>
      <c r="H29" s="4"/>
      <c r="I29" s="4"/>
      <c r="J29" s="2"/>
    </row>
    <row r="30" spans="1:10" ht="12.75">
      <c r="A30" s="2"/>
      <c r="B30" s="6" t="s">
        <v>80</v>
      </c>
      <c r="C30" s="13"/>
      <c r="D30" s="6"/>
      <c r="E30" s="6"/>
      <c r="F30" s="6"/>
      <c r="G30" s="4"/>
      <c r="H30" s="4"/>
      <c r="I30" s="4"/>
      <c r="J30" s="2"/>
    </row>
    <row r="31" spans="1:10" ht="12.75">
      <c r="A31" s="2"/>
      <c r="B31" s="6" t="s">
        <v>91</v>
      </c>
      <c r="C31" s="13"/>
      <c r="D31" s="6"/>
      <c r="E31" s="6"/>
      <c r="F31" s="6"/>
      <c r="G31" s="4"/>
      <c r="H31" s="4"/>
      <c r="I31" s="4"/>
      <c r="J31" s="2"/>
    </row>
    <row r="32" spans="1:10" ht="12.75">
      <c r="A32" s="2"/>
      <c r="B32" s="6" t="s">
        <v>306</v>
      </c>
      <c r="C32" s="13"/>
      <c r="D32" s="6"/>
      <c r="E32" s="6"/>
      <c r="F32" s="6"/>
      <c r="G32" s="4"/>
      <c r="H32" s="4"/>
      <c r="I32" s="4"/>
      <c r="J32" s="2"/>
    </row>
    <row r="33" spans="1:10" ht="12.75">
      <c r="A33" s="2"/>
      <c r="B33" s="6" t="s">
        <v>307</v>
      </c>
      <c r="C33" s="13"/>
      <c r="D33" s="6"/>
      <c r="E33" s="6"/>
      <c r="F33" s="6"/>
      <c r="G33" s="4"/>
      <c r="H33" s="4"/>
      <c r="I33" s="4"/>
      <c r="J33" s="2"/>
    </row>
    <row r="34" spans="1:10" ht="12.75">
      <c r="A34" s="2"/>
      <c r="B34" s="6" t="s">
        <v>308</v>
      </c>
      <c r="C34" s="13"/>
      <c r="D34" s="6"/>
      <c r="E34" s="6"/>
      <c r="F34" s="6"/>
      <c r="G34" s="4"/>
      <c r="H34" s="4"/>
      <c r="I34" s="4"/>
      <c r="J34" s="2"/>
    </row>
    <row r="35" spans="1:10" ht="12.75">
      <c r="A35" s="2"/>
      <c r="B35" s="6" t="s">
        <v>315</v>
      </c>
      <c r="C35" s="13"/>
      <c r="D35" s="6"/>
      <c r="E35" s="6"/>
      <c r="F35" s="6"/>
      <c r="G35" s="4"/>
      <c r="H35" s="4"/>
      <c r="I35" s="4"/>
      <c r="J35" s="2"/>
    </row>
    <row r="36" spans="1:10" ht="12.75">
      <c r="A36" s="2"/>
      <c r="B36" s="6" t="s">
        <v>309</v>
      </c>
      <c r="C36" s="13"/>
      <c r="D36" s="6"/>
      <c r="E36" s="6"/>
      <c r="F36" s="6"/>
      <c r="G36" s="4"/>
      <c r="H36" s="4"/>
      <c r="I36" s="4"/>
      <c r="J36" s="2"/>
    </row>
    <row r="37" spans="1:10" ht="12.75">
      <c r="A37" s="2"/>
      <c r="B37" s="6" t="s">
        <v>23</v>
      </c>
      <c r="C37" s="13"/>
      <c r="D37" s="6"/>
      <c r="E37" s="6"/>
      <c r="F37" s="6"/>
      <c r="G37" s="4"/>
      <c r="H37" s="4"/>
      <c r="I37" s="4"/>
      <c r="J37" s="2"/>
    </row>
    <row r="38" spans="1:10" ht="12.75">
      <c r="A38" s="2"/>
      <c r="B38" s="6" t="s">
        <v>22</v>
      </c>
      <c r="C38" s="13"/>
      <c r="D38" s="6"/>
      <c r="E38" s="6"/>
      <c r="F38" s="6"/>
      <c r="G38" s="4"/>
      <c r="H38" s="4"/>
      <c r="I38" s="4"/>
      <c r="J38" s="2"/>
    </row>
    <row r="39" spans="1:10" ht="12.75">
      <c r="A39" s="2"/>
      <c r="B39" s="6" t="s">
        <v>35</v>
      </c>
      <c r="C39" s="13"/>
      <c r="D39" s="6"/>
      <c r="E39" s="6"/>
      <c r="F39" s="6"/>
      <c r="G39" s="4"/>
      <c r="H39" s="4"/>
      <c r="I39" s="4"/>
      <c r="J39" s="2"/>
    </row>
    <row r="40" spans="1:10" ht="12.75">
      <c r="A40" s="2"/>
      <c r="B40" s="6" t="s">
        <v>12</v>
      </c>
      <c r="C40" s="13"/>
      <c r="D40" s="6"/>
      <c r="E40" s="6"/>
      <c r="F40" s="6"/>
      <c r="G40" s="4"/>
      <c r="H40" s="4"/>
      <c r="I40" s="4"/>
      <c r="J40" s="2"/>
    </row>
    <row r="41" spans="1:10" ht="12.75">
      <c r="A41" s="2"/>
      <c r="B41" s="6" t="s">
        <v>13</v>
      </c>
      <c r="C41" s="13"/>
      <c r="D41" s="6"/>
      <c r="E41" s="6"/>
      <c r="F41" s="6"/>
      <c r="G41" s="4"/>
      <c r="H41" s="4"/>
      <c r="I41" s="4"/>
      <c r="J41" s="2"/>
    </row>
    <row r="42" spans="1:10" ht="12.75">
      <c r="A42" s="2"/>
      <c r="B42" s="6" t="s">
        <v>161</v>
      </c>
      <c r="C42" s="13"/>
      <c r="D42" s="6"/>
      <c r="E42" s="6"/>
      <c r="F42" s="6"/>
      <c r="G42" s="4"/>
      <c r="H42" s="4"/>
      <c r="I42" s="4"/>
      <c r="J42" s="2"/>
    </row>
    <row r="43" spans="1:10" ht="12.75">
      <c r="A43" s="2"/>
      <c r="B43" s="6" t="s">
        <v>48</v>
      </c>
      <c r="C43" s="13"/>
      <c r="D43" s="6"/>
      <c r="E43" s="6"/>
      <c r="F43" s="6"/>
      <c r="G43" s="4"/>
      <c r="H43" s="4"/>
      <c r="I43" s="4"/>
      <c r="J43" s="2"/>
    </row>
    <row r="44" spans="1:10" ht="12.75">
      <c r="A44" s="2"/>
      <c r="B44" s="6" t="s">
        <v>310</v>
      </c>
      <c r="C44" s="13"/>
      <c r="D44" s="6"/>
      <c r="E44" s="6"/>
      <c r="F44" s="6"/>
      <c r="G44" s="4"/>
      <c r="H44" s="4"/>
      <c r="I44" s="4"/>
      <c r="J44" s="2"/>
    </row>
    <row r="45" spans="1:10" ht="12.75">
      <c r="A45" s="2"/>
      <c r="B45" s="6" t="s">
        <v>46</v>
      </c>
      <c r="C45" s="13"/>
      <c r="D45" s="6"/>
      <c r="E45" s="6"/>
      <c r="F45" s="6"/>
      <c r="G45" s="4"/>
      <c r="H45" s="4"/>
      <c r="I45" s="4"/>
      <c r="J45" s="2"/>
    </row>
    <row r="46" spans="1:10" ht="12.75">
      <c r="A46" s="2"/>
      <c r="B46" s="6" t="s">
        <v>47</v>
      </c>
      <c r="C46" s="13"/>
      <c r="D46" s="6"/>
      <c r="E46" s="6"/>
      <c r="F46" s="6"/>
      <c r="G46" s="4"/>
      <c r="H46" s="4"/>
      <c r="I46" s="4"/>
      <c r="J46" s="2"/>
    </row>
    <row r="47" spans="1:10" ht="12.75">
      <c r="A47" s="2"/>
      <c r="B47" s="6" t="s">
        <v>50</v>
      </c>
      <c r="C47" s="13"/>
      <c r="D47" s="6"/>
      <c r="E47" s="6"/>
      <c r="F47" s="6"/>
      <c r="G47" s="4"/>
      <c r="H47" s="4"/>
      <c r="I47" s="4"/>
      <c r="J47" s="2"/>
    </row>
    <row r="48" spans="1:10" ht="12.75">
      <c r="A48" s="2"/>
      <c r="B48" s="6" t="s">
        <v>311</v>
      </c>
      <c r="C48" s="13"/>
      <c r="D48" s="6"/>
      <c r="E48" s="6"/>
      <c r="F48" s="6"/>
      <c r="G48" s="4"/>
      <c r="H48" s="4"/>
      <c r="I48" s="4"/>
      <c r="J48" s="2"/>
    </row>
    <row r="49" spans="1:10" ht="12.75">
      <c r="A49" s="2"/>
      <c r="B49" s="6" t="s">
        <v>38</v>
      </c>
      <c r="C49" s="13"/>
      <c r="D49" s="6"/>
      <c r="E49" s="6"/>
      <c r="F49" s="6"/>
      <c r="G49" s="4"/>
      <c r="H49" s="4"/>
      <c r="I49" s="4"/>
      <c r="J49" s="2"/>
    </row>
    <row r="50" spans="1:10" ht="12.75">
      <c r="A50" s="2"/>
      <c r="B50" s="6" t="s">
        <v>49</v>
      </c>
      <c r="C50" s="13"/>
      <c r="D50" s="6"/>
      <c r="E50" s="6"/>
      <c r="F50" s="6"/>
      <c r="G50" s="4"/>
      <c r="H50" s="4"/>
      <c r="I50" s="4"/>
      <c r="J50" s="2"/>
    </row>
    <row r="51" spans="1:10" ht="12.75">
      <c r="A51" s="2"/>
      <c r="B51" s="6" t="s">
        <v>192</v>
      </c>
      <c r="C51" s="13"/>
      <c r="D51" s="6"/>
      <c r="E51" s="6"/>
      <c r="F51" s="6"/>
      <c r="G51" s="4"/>
      <c r="H51" s="4"/>
      <c r="I51" s="4"/>
      <c r="J51" s="2"/>
    </row>
    <row r="52" spans="1:10" ht="12.75">
      <c r="A52" s="2"/>
      <c r="B52" s="6" t="s">
        <v>312</v>
      </c>
      <c r="C52" s="13"/>
      <c r="D52" s="6"/>
      <c r="E52" s="6"/>
      <c r="F52" s="6"/>
      <c r="G52" s="4"/>
      <c r="H52" s="4"/>
      <c r="I52" s="4"/>
      <c r="J52" s="2"/>
    </row>
    <row r="53" spans="1:10" ht="12.75">
      <c r="A53" s="2"/>
      <c r="B53" s="6" t="s">
        <v>313</v>
      </c>
      <c r="C53" s="13"/>
      <c r="D53" s="12"/>
      <c r="E53" s="12"/>
      <c r="F53" s="6"/>
      <c r="G53" s="4"/>
      <c r="H53" s="4"/>
      <c r="I53" s="4"/>
      <c r="J53" s="2"/>
    </row>
    <row r="54" spans="1:10" ht="12.75">
      <c r="A54" s="2"/>
      <c r="B54" s="6" t="s">
        <v>7</v>
      </c>
      <c r="C54" s="13"/>
      <c r="D54" s="6"/>
      <c r="E54" s="6"/>
      <c r="F54" s="6"/>
      <c r="G54" s="4"/>
      <c r="H54" s="4"/>
      <c r="I54" s="4"/>
      <c r="J54" s="2"/>
    </row>
    <row r="55" spans="1:10" ht="12.75">
      <c r="A55" s="2"/>
      <c r="B55" s="6" t="s">
        <v>162</v>
      </c>
      <c r="C55" s="13"/>
      <c r="D55" s="6"/>
      <c r="E55" s="6"/>
      <c r="F55" s="6"/>
      <c r="G55" s="4"/>
      <c r="H55" s="4"/>
      <c r="I55" s="4"/>
      <c r="J55" s="2"/>
    </row>
    <row r="56" spans="1:10" ht="12.75">
      <c r="A56" s="2"/>
      <c r="B56" s="6" t="s">
        <v>163</v>
      </c>
      <c r="C56" s="13"/>
      <c r="D56" s="6"/>
      <c r="E56" s="6"/>
      <c r="F56" s="6"/>
      <c r="G56" s="4"/>
      <c r="H56" s="4"/>
      <c r="I56" s="4"/>
      <c r="J56" s="2"/>
    </row>
    <row r="57" spans="1:10" ht="12.75">
      <c r="A57" s="2"/>
      <c r="B57" s="6" t="s">
        <v>314</v>
      </c>
      <c r="C57" s="13"/>
      <c r="D57" s="6"/>
      <c r="E57" s="6"/>
      <c r="F57" s="6"/>
      <c r="G57" s="4"/>
      <c r="H57" s="4"/>
      <c r="I57" s="4"/>
      <c r="J57" s="2"/>
    </row>
    <row r="58" spans="1:10" ht="12.75">
      <c r="A58" s="6"/>
      <c r="B58" s="13"/>
      <c r="C58" s="6"/>
      <c r="D58" s="6"/>
      <c r="E58" s="6"/>
      <c r="F58" s="6"/>
      <c r="G58" s="4"/>
      <c r="H58" s="4"/>
      <c r="I58" s="4"/>
      <c r="J58" s="2"/>
    </row>
    <row r="59" spans="1:10" ht="12">
      <c r="A59" s="90"/>
      <c r="B59" s="90"/>
      <c r="C59" s="90"/>
      <c r="D59" s="90"/>
      <c r="E59" s="90"/>
      <c r="F59" s="90"/>
      <c r="G59" s="90"/>
      <c r="H59" s="90"/>
      <c r="I59" s="90"/>
      <c r="J59" s="90"/>
    </row>
    <row r="60" spans="1:10" ht="12">
      <c r="A60" s="90"/>
      <c r="B60" s="90"/>
      <c r="C60" s="90"/>
      <c r="D60" s="90"/>
      <c r="E60" s="90"/>
      <c r="F60" s="90"/>
      <c r="G60" s="90"/>
      <c r="H60" s="90"/>
      <c r="I60" s="90"/>
      <c r="J60" s="90"/>
    </row>
    <row r="61" spans="1:10" ht="12">
      <c r="A61" s="90"/>
      <c r="B61" s="90"/>
      <c r="C61" s="90"/>
      <c r="D61" s="90"/>
      <c r="E61" s="90"/>
      <c r="F61" s="90"/>
      <c r="G61" s="90"/>
      <c r="H61" s="90"/>
      <c r="I61" s="90"/>
      <c r="J61" s="90"/>
    </row>
    <row r="62" spans="1:10" ht="12">
      <c r="A62" s="90"/>
      <c r="B62" s="90"/>
      <c r="C62" s="90"/>
      <c r="D62" s="90"/>
      <c r="E62" s="90"/>
      <c r="F62" s="90"/>
      <c r="G62" s="90"/>
      <c r="H62" s="90"/>
      <c r="I62" s="90"/>
      <c r="J62" s="90"/>
    </row>
    <row r="63" spans="1:10" ht="12">
      <c r="A63" s="90"/>
      <c r="B63" s="90"/>
      <c r="C63" s="90"/>
      <c r="D63" s="90"/>
      <c r="E63" s="90"/>
      <c r="F63" s="90"/>
      <c r="G63" s="90"/>
      <c r="H63" s="90"/>
      <c r="I63" s="90"/>
      <c r="J63" s="90"/>
    </row>
    <row r="64" spans="1:10" ht="12">
      <c r="A64" s="90"/>
      <c r="B64" s="90"/>
      <c r="C64" s="90"/>
      <c r="D64" s="90"/>
      <c r="E64" s="90"/>
      <c r="F64" s="90"/>
      <c r="G64" s="90"/>
      <c r="H64" s="90"/>
      <c r="I64" s="90"/>
      <c r="J64" s="90"/>
    </row>
    <row r="65" spans="1:10" ht="12">
      <c r="A65" s="90"/>
      <c r="B65" s="90"/>
      <c r="C65" s="90"/>
      <c r="D65" s="90"/>
      <c r="E65" s="90"/>
      <c r="F65" s="90"/>
      <c r="G65" s="90"/>
      <c r="H65" s="90"/>
      <c r="I65" s="90"/>
      <c r="J65" s="90"/>
    </row>
    <row r="66" spans="1:10" ht="12">
      <c r="A66" s="90"/>
      <c r="B66" s="90"/>
      <c r="C66" s="90"/>
      <c r="D66" s="90"/>
      <c r="E66" s="90"/>
      <c r="F66" s="90"/>
      <c r="G66" s="90"/>
      <c r="H66" s="90"/>
      <c r="I66" s="90"/>
      <c r="J66" s="90"/>
    </row>
    <row r="67" spans="1:10" ht="12">
      <c r="A67" s="90"/>
      <c r="B67" s="90"/>
      <c r="C67" s="90"/>
      <c r="D67" s="90"/>
      <c r="E67" s="90"/>
      <c r="F67" s="90"/>
      <c r="G67" s="90"/>
      <c r="H67" s="90"/>
      <c r="I67" s="90"/>
      <c r="J67" s="90"/>
    </row>
    <row r="68" spans="1:10" ht="12">
      <c r="A68" s="90"/>
      <c r="B68" s="90"/>
      <c r="C68" s="90"/>
      <c r="D68" s="90"/>
      <c r="E68" s="90"/>
      <c r="F68" s="90"/>
      <c r="G68" s="90"/>
      <c r="H68" s="90"/>
      <c r="I68" s="90"/>
      <c r="J68" s="90"/>
    </row>
    <row r="69" spans="1:10" ht="12">
      <c r="A69" s="90"/>
      <c r="B69" s="90"/>
      <c r="C69" s="90"/>
      <c r="D69" s="90"/>
      <c r="E69" s="90"/>
      <c r="F69" s="90"/>
      <c r="G69" s="90"/>
      <c r="H69" s="90"/>
      <c r="I69" s="90"/>
      <c r="J69" s="90"/>
    </row>
    <row r="70" spans="1:10" ht="12">
      <c r="A70" s="90"/>
      <c r="B70" s="90"/>
      <c r="C70" s="90"/>
      <c r="D70" s="90"/>
      <c r="E70" s="90"/>
      <c r="F70" s="90"/>
      <c r="G70" s="90"/>
      <c r="H70" s="90"/>
      <c r="I70" s="90"/>
      <c r="J70" s="90"/>
    </row>
    <row r="71" spans="1:10" ht="12">
      <c r="A71" s="90"/>
      <c r="B71" s="90"/>
      <c r="C71" s="90"/>
      <c r="D71" s="90"/>
      <c r="E71" s="90"/>
      <c r="F71" s="90"/>
      <c r="G71" s="90"/>
      <c r="H71" s="90"/>
      <c r="I71" s="90"/>
      <c r="J71" s="90"/>
    </row>
    <row r="72" spans="1:10" ht="12">
      <c r="A72" s="90"/>
      <c r="B72" s="90"/>
      <c r="C72" s="90"/>
      <c r="D72" s="90"/>
      <c r="E72" s="90"/>
      <c r="F72" s="90"/>
      <c r="G72" s="90"/>
      <c r="H72" s="90"/>
      <c r="I72" s="90"/>
      <c r="J72" s="90"/>
    </row>
    <row r="73" spans="1:10" ht="12">
      <c r="A73" s="90"/>
      <c r="B73" s="90"/>
      <c r="C73" s="90"/>
      <c r="D73" s="90"/>
      <c r="E73" s="90"/>
      <c r="F73" s="90"/>
      <c r="G73" s="90"/>
      <c r="H73" s="90"/>
      <c r="I73" s="90"/>
      <c r="J73" s="90"/>
    </row>
    <row r="74" spans="1:10" ht="12">
      <c r="A74" s="90"/>
      <c r="B74" s="90"/>
      <c r="C74" s="90"/>
      <c r="D74" s="90"/>
      <c r="E74" s="90"/>
      <c r="F74" s="90"/>
      <c r="G74" s="90"/>
      <c r="H74" s="90"/>
      <c r="I74" s="90"/>
      <c r="J74" s="90"/>
    </row>
    <row r="75" spans="1:10" ht="12">
      <c r="A75" s="90"/>
      <c r="B75" s="90"/>
      <c r="C75" s="90"/>
      <c r="D75" s="90"/>
      <c r="E75" s="90"/>
      <c r="F75" s="90"/>
      <c r="G75" s="90"/>
      <c r="H75" s="90"/>
      <c r="I75" s="90"/>
      <c r="J75" s="90"/>
    </row>
    <row r="76" spans="1:10" ht="12">
      <c r="A76" s="90"/>
      <c r="B76" s="90"/>
      <c r="C76" s="90"/>
      <c r="D76" s="90"/>
      <c r="E76" s="90"/>
      <c r="F76" s="90"/>
      <c r="G76" s="90"/>
      <c r="H76" s="90"/>
      <c r="I76" s="90"/>
      <c r="J76" s="90"/>
    </row>
    <row r="77" spans="1:10" ht="12">
      <c r="A77" s="90"/>
      <c r="B77" s="90"/>
      <c r="C77" s="90"/>
      <c r="D77" s="90"/>
      <c r="E77" s="90"/>
      <c r="F77" s="90"/>
      <c r="G77" s="90"/>
      <c r="H77" s="90"/>
      <c r="I77" s="90"/>
      <c r="J77" s="90"/>
    </row>
    <row r="78" spans="1:10" ht="12">
      <c r="A78" s="90"/>
      <c r="B78" s="90"/>
      <c r="C78" s="90"/>
      <c r="D78" s="90"/>
      <c r="E78" s="90"/>
      <c r="F78" s="90"/>
      <c r="G78" s="90"/>
      <c r="H78" s="90"/>
      <c r="I78" s="90"/>
      <c r="J78" s="90"/>
    </row>
  </sheetData>
  <sheetProtection password="C550" sheet="1" objects="1" scenarios="1"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1"/>
    <pageSetUpPr fitToPage="1"/>
  </sheetPr>
  <dimension ref="A1:BP231"/>
  <sheetViews>
    <sheetView showGridLines="0" zoomScale="105" zoomScaleNormal="105" zoomScalePageLayoutView="0" workbookViewId="0" topLeftCell="A1">
      <selection activeCell="K17" sqref="K17"/>
    </sheetView>
  </sheetViews>
  <sheetFormatPr defaultColWidth="9.625" defaultRowHeight="12.75"/>
  <cols>
    <col min="1" max="1" width="3.75390625" style="1" customWidth="1"/>
    <col min="2" max="2" width="8.75390625" style="1" customWidth="1"/>
    <col min="3" max="3" width="6.75390625" style="1" customWidth="1"/>
    <col min="4" max="4" width="8.625" style="1" customWidth="1"/>
    <col min="5" max="5" width="7.625" style="1" customWidth="1"/>
    <col min="6" max="6" width="11.75390625" style="1" customWidth="1"/>
    <col min="7" max="7" width="11.00390625" style="1" customWidth="1"/>
    <col min="8" max="8" width="7.625" style="1" customWidth="1"/>
    <col min="9" max="9" width="9.625" style="1" customWidth="1"/>
    <col min="10" max="16384" width="9.625" style="1" customWidth="1"/>
  </cols>
  <sheetData>
    <row r="1" spans="1:11" ht="14.25" thickBot="1" thickTop="1">
      <c r="A1" s="842" t="s">
        <v>243</v>
      </c>
      <c r="B1" s="843"/>
      <c r="C1" s="843"/>
      <c r="D1" s="843"/>
      <c r="E1" s="843"/>
      <c r="F1" s="843"/>
      <c r="G1" s="843"/>
      <c r="H1" s="843"/>
      <c r="I1" s="844"/>
      <c r="K1"/>
    </row>
    <row r="2" spans="1:11" ht="12.75">
      <c r="A2" s="34"/>
      <c r="B2" s="13"/>
      <c r="C2" s="6"/>
      <c r="D2" s="6"/>
      <c r="E2" s="6"/>
      <c r="F2" s="6"/>
      <c r="G2" s="4"/>
      <c r="H2" s="4"/>
      <c r="I2" s="379"/>
      <c r="J2" s="86"/>
      <c r="K2"/>
    </row>
    <row r="3" spans="1:11" ht="15.75">
      <c r="A3" s="436"/>
      <c r="B3" s="13"/>
      <c r="C3" s="6"/>
      <c r="D3" s="2"/>
      <c r="F3" s="499" t="s">
        <v>236</v>
      </c>
      <c r="G3" s="586" t="str">
        <f>'Excerpt WDH'!C5</f>
        <v>NYBO</v>
      </c>
      <c r="H3" s="587" t="str">
        <f>'Excerpt WDH'!E5</f>
        <v>2001</v>
      </c>
      <c r="I3" s="333">
        <f>'Excerpt WDH'!I9</f>
        <v>4</v>
      </c>
      <c r="K3"/>
    </row>
    <row r="4" spans="1:11" ht="16.5" thickBot="1">
      <c r="A4" s="436" t="str">
        <f>IF($I3=1," ","  INPUT is NOT as FREQUENCIES, so DO NOT USE THIS WORKSHEET !!")</f>
        <v>  INPUT is NOT as FREQUENCIES, so DO NOT USE THIS WORKSHEET !!</v>
      </c>
      <c r="B4" s="13"/>
      <c r="C4" s="6"/>
      <c r="D4" s="2"/>
      <c r="E4" s="2"/>
      <c r="F4" s="6"/>
      <c r="G4" s="4"/>
      <c r="H4" s="4"/>
      <c r="I4" s="3"/>
      <c r="K4"/>
    </row>
    <row r="5" spans="1:11" ht="13.5" thickBot="1">
      <c r="A5" s="34"/>
      <c r="B5" s="13"/>
      <c r="C5" s="69" t="s">
        <v>10</v>
      </c>
      <c r="D5" s="70"/>
      <c r="E5" s="70"/>
      <c r="F5" s="70"/>
      <c r="G5" s="71"/>
      <c r="H5" s="72"/>
      <c r="I5" s="99"/>
      <c r="K5"/>
    </row>
    <row r="6" spans="1:11" ht="13.5" thickBot="1">
      <c r="A6" s="189"/>
      <c r="B6" s="30"/>
      <c r="C6" s="30"/>
      <c r="D6" s="30"/>
      <c r="E6" s="30"/>
      <c r="F6" s="190"/>
      <c r="G6" s="191"/>
      <c r="H6" s="192"/>
      <c r="I6" s="193"/>
      <c r="J6" s="287"/>
      <c r="K6"/>
    </row>
    <row r="7" spans="1:11" ht="14.25" thickBot="1" thickTop="1">
      <c r="A7" s="238"/>
      <c r="B7" s="239" t="s">
        <v>43</v>
      </c>
      <c r="C7" s="240"/>
      <c r="D7" s="241"/>
      <c r="E7" s="242"/>
      <c r="F7" s="243"/>
      <c r="G7" s="422">
        <f>'Excerpt WDH'!E31-'Excerpt WDH'!B31+1</f>
        <v>3</v>
      </c>
      <c r="H7" s="289"/>
      <c r="I7" s="290"/>
      <c r="J7" s="287"/>
      <c r="K7"/>
    </row>
    <row r="8" spans="1:10" ht="13.5" thickBot="1">
      <c r="A8" s="34"/>
      <c r="B8" s="198" t="s">
        <v>124</v>
      </c>
      <c r="C8" s="228"/>
      <c r="D8" s="229"/>
      <c r="E8" s="6"/>
      <c r="F8" s="170"/>
      <c r="G8" s="423"/>
      <c r="H8" s="67"/>
      <c r="I8" s="288"/>
      <c r="J8" s="287"/>
    </row>
    <row r="9" spans="1:11" ht="16.5">
      <c r="A9" s="34"/>
      <c r="B9" s="461" t="s">
        <v>62</v>
      </c>
      <c r="C9" s="6"/>
      <c r="D9" s="6"/>
      <c r="E9" s="6"/>
      <c r="F9" s="170"/>
      <c r="G9" s="424">
        <f>'Excerpt WDH'!G22</f>
        <v>100</v>
      </c>
      <c r="H9" s="188" t="str">
        <f>IF('Excerpt WDH'!G22=G9," ","  cf.  Total  number !")</f>
        <v> </v>
      </c>
      <c r="I9" s="288"/>
      <c r="J9" s="287"/>
      <c r="K9"/>
    </row>
    <row r="10" spans="1:11" ht="13.5" thickBot="1">
      <c r="A10" s="34"/>
      <c r="B10" s="200" t="s">
        <v>57</v>
      </c>
      <c r="C10" s="147"/>
      <c r="D10" s="148"/>
      <c r="E10" s="6"/>
      <c r="F10" s="201"/>
      <c r="G10" s="424">
        <f>'Excerpt WDH'!G22-'Excerpt WDH'!G23</f>
        <v>100</v>
      </c>
      <c r="H10" s="188"/>
      <c r="I10" s="87"/>
      <c r="J10" s="287"/>
      <c r="K10"/>
    </row>
    <row r="11" spans="1:11" ht="13.5" thickBot="1">
      <c r="A11" s="34"/>
      <c r="B11" s="198" t="s">
        <v>125</v>
      </c>
      <c r="C11" s="228"/>
      <c r="D11" s="229"/>
      <c r="E11" s="6"/>
      <c r="F11" s="4"/>
      <c r="G11" s="447"/>
      <c r="H11" s="188"/>
      <c r="I11" s="87"/>
      <c r="J11" s="287"/>
      <c r="K11"/>
    </row>
    <row r="12" spans="1:11" ht="16.5">
      <c r="A12" s="34"/>
      <c r="B12" s="461" t="s">
        <v>63</v>
      </c>
      <c r="C12" s="6"/>
      <c r="D12" s="6"/>
      <c r="E12" s="6"/>
      <c r="F12" s="170"/>
      <c r="G12" s="424">
        <f>'Excerpt WDH'!G25</f>
        <v>100</v>
      </c>
      <c r="H12" s="188" t="str">
        <f>IF('Excerpt WDH'!G25=G12," ","  cf.  Total  number !")</f>
        <v> </v>
      </c>
      <c r="I12" s="288"/>
      <c r="J12" s="287"/>
      <c r="K12"/>
    </row>
    <row r="13" spans="1:11" ht="13.5" thickBot="1">
      <c r="A13" s="34"/>
      <c r="B13" s="40" t="s">
        <v>57</v>
      </c>
      <c r="C13" s="41"/>
      <c r="D13" s="81"/>
      <c r="E13" s="37"/>
      <c r="F13" s="124"/>
      <c r="G13" s="427">
        <f>'Excerpt WDH'!G25-'Excerpt WDH'!G26</f>
        <v>100</v>
      </c>
      <c r="H13" s="188"/>
      <c r="I13" s="87"/>
      <c r="J13" s="287"/>
      <c r="K13"/>
    </row>
    <row r="14" spans="1:11" ht="13.5" thickBot="1">
      <c r="A14" s="121"/>
      <c r="B14" s="12"/>
      <c r="C14" s="12"/>
      <c r="D14" s="12"/>
      <c r="E14" s="12"/>
      <c r="F14" s="230"/>
      <c r="G14" s="165"/>
      <c r="H14" s="188"/>
      <c r="I14" s="87"/>
      <c r="J14" s="287"/>
      <c r="K14"/>
    </row>
    <row r="15" spans="1:11" ht="12.75">
      <c r="A15" s="85" t="s">
        <v>45</v>
      </c>
      <c r="B15" s="48"/>
      <c r="C15" s="35" t="s">
        <v>51</v>
      </c>
      <c r="D15" s="48"/>
      <c r="E15" s="107"/>
      <c r="F15" s="105"/>
      <c r="G15" s="178"/>
      <c r="H15" s="179"/>
      <c r="I15" s="455"/>
      <c r="J15" s="287"/>
      <c r="K15"/>
    </row>
    <row r="16" spans="1:11" ht="12.75">
      <c r="A16" s="38" t="s">
        <v>60</v>
      </c>
      <c r="B16" s="68"/>
      <c r="C16" s="449" t="str">
        <f>IF('Excerpt WDH'!$C$32=1,"AFTER SCALE REVERSION !"," ")</f>
        <v> </v>
      </c>
      <c r="D16" s="6"/>
      <c r="E16" s="6"/>
      <c r="F16" s="6"/>
      <c r="G16" s="103" t="s">
        <v>3</v>
      </c>
      <c r="H16" s="96"/>
      <c r="I16" s="104" t="s">
        <v>5</v>
      </c>
      <c r="J16" s="287"/>
      <c r="K16"/>
    </row>
    <row r="17" spans="1:11" ht="13.5" thickBot="1">
      <c r="A17" s="34"/>
      <c r="B17" s="20" t="str">
        <f>IF(AND('Excerpt WDH'!$G$22=$G$9,SUM($B$129:$B$141)=$G$10)," ","THE  OUTPUT  IS  UNRELIABLE   !!!")</f>
        <v> </v>
      </c>
      <c r="C17" s="67"/>
      <c r="D17" s="47"/>
      <c r="E17" s="47"/>
      <c r="F17" s="6"/>
      <c r="G17" s="50" t="s">
        <v>4</v>
      </c>
      <c r="H17" s="6"/>
      <c r="I17" s="51" t="s">
        <v>4</v>
      </c>
      <c r="J17" s="287"/>
      <c r="K17"/>
    </row>
    <row r="18" spans="1:11" ht="13.5" thickTop="1">
      <c r="A18" s="52"/>
      <c r="B18" s="53"/>
      <c r="C18" s="53"/>
      <c r="D18" s="53"/>
      <c r="E18" s="53"/>
      <c r="F18" s="54" t="s">
        <v>99</v>
      </c>
      <c r="G18" s="23">
        <f>IF($G$10=0,"     ",G143)</f>
        <v>2.2</v>
      </c>
      <c r="H18" s="12"/>
      <c r="I18" s="28">
        <f>IF($G$10=0,"     ",I143)</f>
        <v>6</v>
      </c>
      <c r="J18" s="287"/>
      <c r="K18"/>
    </row>
    <row r="19" spans="1:11" ht="12.75">
      <c r="A19" s="52"/>
      <c r="B19" s="53"/>
      <c r="C19" s="53"/>
      <c r="D19" s="53"/>
      <c r="E19" s="53"/>
      <c r="F19" s="76" t="s">
        <v>100</v>
      </c>
      <c r="G19" s="22">
        <f>IF($G$10=0,"      ",G147/(SQRT(G10)))</f>
        <v>0.08761716542303613</v>
      </c>
      <c r="H19" s="237"/>
      <c r="I19" s="29">
        <f>IF($G$10=0,"      ",I147/(SQRT(G10)))</f>
        <v>0.43808582711518057</v>
      </c>
      <c r="J19" s="287"/>
      <c r="K19"/>
    </row>
    <row r="20" spans="1:11" ht="12.75">
      <c r="A20" s="52"/>
      <c r="B20" s="53"/>
      <c r="C20" s="53"/>
      <c r="D20" s="53"/>
      <c r="E20" s="53"/>
      <c r="F20" s="76" t="s">
        <v>31</v>
      </c>
      <c r="G20" s="23">
        <f>IF($G$10=0,"     ",G145)</f>
        <v>2.3738514603821974</v>
      </c>
      <c r="H20" s="12"/>
      <c r="I20" s="28">
        <f>IF($G$10=0,"     ",I145)</f>
        <v>6.869257301910985</v>
      </c>
      <c r="J20" s="287"/>
      <c r="K20"/>
    </row>
    <row r="21" spans="1:11" ht="12.75">
      <c r="A21" s="52"/>
      <c r="B21" s="53"/>
      <c r="C21" s="53"/>
      <c r="D21" s="53"/>
      <c r="E21" s="53"/>
      <c r="F21" s="54" t="s">
        <v>30</v>
      </c>
      <c r="G21" s="23">
        <f>IF($G$10=0,"     ",G144)</f>
        <v>2.026148539617803</v>
      </c>
      <c r="H21" s="12"/>
      <c r="I21" s="28">
        <f>IF($G$10=0,"     ",I144)</f>
        <v>5.130742698089015</v>
      </c>
      <c r="J21" s="287"/>
      <c r="K21"/>
    </row>
    <row r="22" spans="1:11" ht="12.75">
      <c r="A22" s="52"/>
      <c r="B22" s="53"/>
      <c r="C22" s="53"/>
      <c r="D22" s="53"/>
      <c r="E22" s="53"/>
      <c r="F22" s="54" t="s">
        <v>27</v>
      </c>
      <c r="G22" s="23">
        <f>IF($G$10=0,"     ",G146)</f>
        <v>0.7676767676767676</v>
      </c>
      <c r="H22" s="428">
        <f>H146</f>
        <v>99</v>
      </c>
      <c r="I22" s="28">
        <f>IF($G$10=0,"     ",I146)</f>
        <v>19.19191919191919</v>
      </c>
      <c r="J22" s="287"/>
      <c r="K22"/>
    </row>
    <row r="23" spans="1:11" ht="13.5" thickBot="1">
      <c r="A23" s="55"/>
      <c r="B23" s="56"/>
      <c r="C23" s="56"/>
      <c r="D23" s="56"/>
      <c r="E23" s="56"/>
      <c r="F23" s="57" t="s">
        <v>28</v>
      </c>
      <c r="G23" s="23">
        <f>IF($G$10=0,"     ",G147)</f>
        <v>0.8761716542303613</v>
      </c>
      <c r="H23" s="116" t="s">
        <v>41</v>
      </c>
      <c r="I23" s="28">
        <f>IF($G$10=0,"     ",I147)</f>
        <v>4.380858271151806</v>
      </c>
      <c r="J23" s="287"/>
      <c r="K23"/>
    </row>
    <row r="24" spans="1:11" ht="12.75">
      <c r="A24" s="85" t="s">
        <v>45</v>
      </c>
      <c r="B24" s="48"/>
      <c r="C24" s="35" t="s">
        <v>51</v>
      </c>
      <c r="D24" s="48"/>
      <c r="E24" s="107"/>
      <c r="F24" s="105"/>
      <c r="G24" s="178"/>
      <c r="H24" s="179"/>
      <c r="I24" s="455"/>
      <c r="J24" s="287"/>
      <c r="K24"/>
    </row>
    <row r="25" spans="1:11" ht="12.75">
      <c r="A25" s="38" t="s">
        <v>61</v>
      </c>
      <c r="B25" s="6"/>
      <c r="C25" s="449" t="str">
        <f>IF('Excerpt WDH'!$C$32=1,"AFTER SCALE REVERSION !"," ")</f>
        <v> </v>
      </c>
      <c r="D25" s="6"/>
      <c r="E25" s="6"/>
      <c r="F25" s="6"/>
      <c r="G25" s="103" t="s">
        <v>3</v>
      </c>
      <c r="H25" s="96"/>
      <c r="I25" s="104" t="s">
        <v>5</v>
      </c>
      <c r="J25" s="287"/>
      <c r="K25"/>
    </row>
    <row r="26" spans="1:11" ht="13.5" thickBot="1">
      <c r="A26" s="34"/>
      <c r="B26" s="20" t="str">
        <f>IF(AND('Excerpt WDH'!$G$22=$G$9,SUM($B$129:$B$141)=$G$10)," ","THE  OUTPUT  IS  UNRELIABLE   !!!")</f>
        <v> </v>
      </c>
      <c r="C26" s="67"/>
      <c r="D26" s="47"/>
      <c r="E26" s="47"/>
      <c r="F26" s="6"/>
      <c r="G26" s="50" t="s">
        <v>4</v>
      </c>
      <c r="H26" s="6"/>
      <c r="I26" s="51" t="s">
        <v>4</v>
      </c>
      <c r="J26" s="287"/>
      <c r="K26"/>
    </row>
    <row r="27" spans="1:11" ht="13.5" thickTop="1">
      <c r="A27" s="52"/>
      <c r="B27" s="53"/>
      <c r="C27" s="53"/>
      <c r="D27" s="53"/>
      <c r="E27" s="53"/>
      <c r="F27" s="54" t="s">
        <v>99</v>
      </c>
      <c r="G27" s="23">
        <f>IF($G$13=0,"     ",G171)</f>
        <v>2.4</v>
      </c>
      <c r="H27" s="12"/>
      <c r="I27" s="28">
        <f>IF($G$13=0,"     ",I171)</f>
        <v>7</v>
      </c>
      <c r="J27" s="287"/>
      <c r="K27"/>
    </row>
    <row r="28" spans="1:11" ht="12.75">
      <c r="A28" s="52"/>
      <c r="B28" s="53"/>
      <c r="C28" s="53"/>
      <c r="D28" s="53"/>
      <c r="E28" s="53"/>
      <c r="F28" s="76" t="s">
        <v>100</v>
      </c>
      <c r="G28" s="22">
        <f>IF($G$13=0,"      ",G175/(SQRT(G13)))</f>
        <v>0.08040302522073697</v>
      </c>
      <c r="H28" s="237"/>
      <c r="I28" s="29">
        <f>IF($G$13=0,"      ",I175/(SQRT(G13)))</f>
        <v>0.40201512610368484</v>
      </c>
      <c r="J28" s="287"/>
      <c r="K28"/>
    </row>
    <row r="29" spans="1:11" ht="12.75">
      <c r="A29" s="52"/>
      <c r="B29" s="53"/>
      <c r="C29" s="53"/>
      <c r="D29" s="53"/>
      <c r="E29" s="53"/>
      <c r="F29" s="54" t="s">
        <v>31</v>
      </c>
      <c r="G29" s="23">
        <f>IF($G$13=0,"     ",G173)</f>
        <v>2.5595370414722027</v>
      </c>
      <c r="H29" s="12"/>
      <c r="I29" s="28">
        <f>IF($G$13=0,"     ",I173)</f>
        <v>7.797685207361013</v>
      </c>
      <c r="J29" s="287"/>
      <c r="K29"/>
    </row>
    <row r="30" spans="1:11" ht="12.75">
      <c r="A30" s="52"/>
      <c r="B30" s="53"/>
      <c r="C30" s="53"/>
      <c r="D30" s="53"/>
      <c r="E30" s="53"/>
      <c r="F30" s="54" t="s">
        <v>30</v>
      </c>
      <c r="G30" s="23">
        <f>IF($G$13=0,"     ",G172)</f>
        <v>2.240462958527797</v>
      </c>
      <c r="H30" s="12"/>
      <c r="I30" s="28">
        <f>IF($G$13=0,"     ",I172)</f>
        <v>6.202314792638987</v>
      </c>
      <c r="J30" s="287"/>
      <c r="K30"/>
    </row>
    <row r="31" spans="1:11" ht="12.75">
      <c r="A31" s="52"/>
      <c r="B31" s="53"/>
      <c r="C31" s="53"/>
      <c r="D31" s="53"/>
      <c r="E31" s="53"/>
      <c r="F31" s="54" t="s">
        <v>27</v>
      </c>
      <c r="G31" s="23">
        <f>IF($G$13=0,"     ",G174)</f>
        <v>0.6464646464646465</v>
      </c>
      <c r="H31" s="428">
        <f>H174</f>
        <v>99</v>
      </c>
      <c r="I31" s="28">
        <f>IF($G$13=0,"     ",I174)</f>
        <v>16.161616161616163</v>
      </c>
      <c r="J31" s="287"/>
      <c r="K31"/>
    </row>
    <row r="32" spans="1:11" ht="13.5" thickBot="1">
      <c r="A32" s="55"/>
      <c r="B32" s="56"/>
      <c r="C32" s="56"/>
      <c r="D32" s="56"/>
      <c r="E32" s="56"/>
      <c r="F32" s="57" t="s">
        <v>28</v>
      </c>
      <c r="G32" s="23">
        <f>IF($G$13=0,"     ",G175)</f>
        <v>0.8040302522073697</v>
      </c>
      <c r="H32" s="116" t="s">
        <v>41</v>
      </c>
      <c r="I32" s="28">
        <f>IF($G$13=0,"     ",I175)</f>
        <v>4.020151261036848</v>
      </c>
      <c r="J32" s="287"/>
      <c r="K32"/>
    </row>
    <row r="33" spans="1:11" ht="13.5" thickBot="1">
      <c r="A33" s="153"/>
      <c r="B33" s="154"/>
      <c r="C33" s="154"/>
      <c r="D33" s="154"/>
      <c r="E33" s="154"/>
      <c r="F33" s="155"/>
      <c r="G33" s="156"/>
      <c r="H33" s="159"/>
      <c r="I33" s="157"/>
      <c r="J33" s="287"/>
      <c r="K33"/>
    </row>
    <row r="34" spans="1:11" ht="12.75">
      <c r="A34" s="218" t="s">
        <v>82</v>
      </c>
      <c r="B34" s="133"/>
      <c r="C34" s="133"/>
      <c r="D34" s="133"/>
      <c r="E34" s="133" t="s">
        <v>194</v>
      </c>
      <c r="F34" s="73"/>
      <c r="G34" s="203"/>
      <c r="H34" s="115"/>
      <c r="I34" s="204"/>
      <c r="J34" s="287"/>
      <c r="K34"/>
    </row>
    <row r="35" spans="1:11" ht="12.75">
      <c r="A35" s="121"/>
      <c r="B35" s="133"/>
      <c r="C35" s="133"/>
      <c r="D35" s="133"/>
      <c r="E35" s="449" t="str">
        <f>IF('Excerpt WDH'!$C$32=1,"BUT AFTER SCALE REVERSION !"," ")</f>
        <v> </v>
      </c>
      <c r="F35" s="73"/>
      <c r="G35" s="203"/>
      <c r="H35" s="115"/>
      <c r="I35" s="204"/>
      <c r="J35" s="287"/>
      <c r="K35"/>
    </row>
    <row r="36" spans="1:11" ht="13.5" thickBot="1">
      <c r="A36" s="226" t="s">
        <v>195</v>
      </c>
      <c r="B36" s="133"/>
      <c r="C36" s="133"/>
      <c r="D36" s="133"/>
      <c r="E36" s="227" t="s">
        <v>197</v>
      </c>
      <c r="F36" s="73"/>
      <c r="G36" s="252" t="s">
        <v>142</v>
      </c>
      <c r="H36" s="22">
        <f>C37-C38</f>
        <v>-0.19999999999999973</v>
      </c>
      <c r="I36" s="204"/>
      <c r="J36" s="287"/>
      <c r="K36"/>
    </row>
    <row r="37" spans="1:11" ht="13.5" thickBot="1">
      <c r="A37" s="121" t="s">
        <v>143</v>
      </c>
      <c r="B37" s="133"/>
      <c r="C37" s="451">
        <f>G18</f>
        <v>2.2</v>
      </c>
      <c r="D37" s="133"/>
      <c r="E37" s="133" t="s">
        <v>66</v>
      </c>
      <c r="F37" s="73"/>
      <c r="G37" s="203"/>
      <c r="H37" s="22">
        <f>H$36+TINV(0.05,($H$22+$H$31))*F$181</f>
        <v>0.034507734023560444</v>
      </c>
      <c r="I37" s="204"/>
      <c r="J37" s="287"/>
      <c r="K37"/>
    </row>
    <row r="38" spans="1:11" ht="13.5" thickBot="1">
      <c r="A38" s="121" t="s">
        <v>144</v>
      </c>
      <c r="B38" s="133"/>
      <c r="C38" s="451">
        <f>G27</f>
        <v>2.4</v>
      </c>
      <c r="D38" s="133"/>
      <c r="E38" s="133" t="s">
        <v>65</v>
      </c>
      <c r="F38" s="73"/>
      <c r="G38" s="203"/>
      <c r="H38" s="22">
        <f>H$36-TINV(0.05,($H$22+$H$31))*F$181</f>
        <v>-0.4345077340235599</v>
      </c>
      <c r="I38" s="204"/>
      <c r="J38" s="287"/>
      <c r="K38"/>
    </row>
    <row r="39" spans="1:11" ht="12.75">
      <c r="A39" s="121"/>
      <c r="B39" s="133"/>
      <c r="C39" s="74"/>
      <c r="D39" s="133"/>
      <c r="E39" s="133" t="s">
        <v>196</v>
      </c>
      <c r="F39" s="73"/>
      <c r="G39" s="203"/>
      <c r="H39" s="22">
        <f>H36/F181</f>
        <v>-1.6818357317441621</v>
      </c>
      <c r="I39" s="204"/>
      <c r="J39" s="287"/>
      <c r="K39"/>
    </row>
    <row r="40" spans="1:11" ht="12.75">
      <c r="A40" s="568" t="str">
        <f>IF(G7&gt;6,"","Linear Transformation is not recommended")</f>
        <v>Linear Transformation is not recommended</v>
      </c>
      <c r="B40" s="133"/>
      <c r="C40" s="45"/>
      <c r="D40" s="133"/>
      <c r="E40" s="133" t="s">
        <v>168</v>
      </c>
      <c r="F40" s="73"/>
      <c r="G40" s="203"/>
      <c r="H40" s="454">
        <f>H22+H31</f>
        <v>198</v>
      </c>
      <c r="I40" s="204"/>
      <c r="J40" s="287"/>
      <c r="K40"/>
    </row>
    <row r="41" spans="1:11" ht="12.75">
      <c r="A41" s="568" t="str">
        <f>IF(G7&gt;6,"","in case of scales with &lt; 7 possible ratings. ")</f>
        <v>in case of scales with &lt; 7 possible ratings. </v>
      </c>
      <c r="B41" s="133"/>
      <c r="C41" s="45"/>
      <c r="D41" s="133"/>
      <c r="E41" s="133" t="s">
        <v>67</v>
      </c>
      <c r="F41" s="73"/>
      <c r="G41" s="803">
        <f>IF(TDIST(ABS($H39),$H40,2)&lt;0.005,TDIST(ABS($H39),$H40,2),"")</f>
      </c>
      <c r="H41" s="450">
        <f>IF(TDIST(ABS($H39),$H40,2)&lt;0.005,"",TDIST(ABS($H39),$H40,2))</f>
        <v>0.094177175579222</v>
      </c>
      <c r="I41" s="204"/>
      <c r="J41" s="287"/>
      <c r="K41"/>
    </row>
    <row r="42" spans="1:11" ht="13.5" thickBot="1">
      <c r="A42" s="121"/>
      <c r="B42" s="133"/>
      <c r="C42" s="452"/>
      <c r="D42" s="133"/>
      <c r="E42" s="133"/>
      <c r="F42" s="73"/>
      <c r="G42" s="300"/>
      <c r="H42" s="301"/>
      <c r="I42" s="204"/>
      <c r="J42" s="287"/>
      <c r="K42"/>
    </row>
    <row r="43" spans="1:11" ht="13.5" thickBot="1">
      <c r="A43" s="153"/>
      <c r="B43" s="154"/>
      <c r="C43" s="453"/>
      <c r="D43" s="154"/>
      <c r="E43" s="154"/>
      <c r="F43" s="155"/>
      <c r="G43" s="156"/>
      <c r="H43" s="159"/>
      <c r="I43" s="157"/>
      <c r="J43" s="287"/>
      <c r="K43"/>
    </row>
    <row r="44" spans="1:11" ht="12.75">
      <c r="A44" s="218" t="s">
        <v>82</v>
      </c>
      <c r="B44" s="133"/>
      <c r="C44" s="452"/>
      <c r="D44" s="133"/>
      <c r="E44" s="133" t="s">
        <v>64</v>
      </c>
      <c r="F44" s="73"/>
      <c r="G44" s="203"/>
      <c r="H44" s="115"/>
      <c r="I44" s="204"/>
      <c r="J44" s="287"/>
      <c r="K44"/>
    </row>
    <row r="45" spans="1:11" ht="12.75">
      <c r="A45" s="121"/>
      <c r="B45" s="133"/>
      <c r="C45" s="452"/>
      <c r="D45" s="133"/>
      <c r="E45" s="449" t="str">
        <f>IF('Excerpt WDH'!$C$32=1,"AND AFTER SCALE REVERSION !"," ")</f>
        <v> </v>
      </c>
      <c r="F45" s="73"/>
      <c r="G45" s="203"/>
      <c r="H45" s="115"/>
      <c r="I45" s="204"/>
      <c r="J45" s="287"/>
      <c r="K45"/>
    </row>
    <row r="46" spans="1:11" ht="13.5" thickBot="1">
      <c r="A46" s="226" t="s">
        <v>200</v>
      </c>
      <c r="B46" s="133"/>
      <c r="C46" s="452"/>
      <c r="D46" s="133"/>
      <c r="E46" s="227" t="s">
        <v>78</v>
      </c>
      <c r="F46" s="73"/>
      <c r="G46" s="252" t="s">
        <v>142</v>
      </c>
      <c r="H46" s="22">
        <f>C47-C48</f>
        <v>-1</v>
      </c>
      <c r="I46" s="204"/>
      <c r="J46" s="287"/>
      <c r="K46"/>
    </row>
    <row r="47" spans="1:11" ht="13.5" thickBot="1">
      <c r="A47" s="121" t="s">
        <v>143</v>
      </c>
      <c r="B47" s="133"/>
      <c r="C47" s="451">
        <f>I18</f>
        <v>6</v>
      </c>
      <c r="D47" s="133"/>
      <c r="E47" s="133" t="s">
        <v>66</v>
      </c>
      <c r="F47" s="73"/>
      <c r="G47" s="203"/>
      <c r="H47" s="22">
        <f>H$46+TINV(0.05,($H$22+$H$31))*F$182</f>
        <v>0.1725386701178011</v>
      </c>
      <c r="I47" s="204"/>
      <c r="J47" s="287"/>
      <c r="K47"/>
    </row>
    <row r="48" spans="1:11" ht="13.5" thickBot="1">
      <c r="A48" s="121" t="s">
        <v>144</v>
      </c>
      <c r="B48" s="133"/>
      <c r="C48" s="451">
        <f>I27</f>
        <v>7</v>
      </c>
      <c r="D48" s="133"/>
      <c r="E48" s="133" t="s">
        <v>65</v>
      </c>
      <c r="F48" s="73"/>
      <c r="G48" s="203"/>
      <c r="H48" s="22">
        <f>H$46-TINV(0.05,($H$22+$H$31))*F$182</f>
        <v>-2.172538670117801</v>
      </c>
      <c r="I48" s="204"/>
      <c r="J48" s="287"/>
      <c r="K48"/>
    </row>
    <row r="49" spans="1:11" ht="12.75">
      <c r="A49" s="568"/>
      <c r="B49" s="133"/>
      <c r="C49" s="45"/>
      <c r="D49" s="133"/>
      <c r="E49" s="133" t="s">
        <v>169</v>
      </c>
      <c r="F49" s="73"/>
      <c r="G49" s="203"/>
      <c r="H49" s="22">
        <f>H46/F182</f>
        <v>-1.6818357317441641</v>
      </c>
      <c r="I49" s="204"/>
      <c r="J49" s="287"/>
      <c r="K49"/>
    </row>
    <row r="50" spans="1:11" ht="12.75">
      <c r="A50" s="568" t="str">
        <f>IF(G7&gt;6,"","Linear Transformation is not recommended")</f>
        <v>Linear Transformation is not recommended</v>
      </c>
      <c r="B50" s="133"/>
      <c r="C50" s="45"/>
      <c r="D50" s="133"/>
      <c r="E50" s="133" t="s">
        <v>168</v>
      </c>
      <c r="F50" s="73"/>
      <c r="G50" s="203"/>
      <c r="H50" s="454">
        <f>H22+H31</f>
        <v>198</v>
      </c>
      <c r="I50" s="204"/>
      <c r="J50" s="287"/>
      <c r="K50"/>
    </row>
    <row r="51" spans="1:11" ht="13.5" thickBot="1">
      <c r="A51" s="579" t="str">
        <f>IF(G7&gt;6,"","in case of scales with &lt; 7 possible ratings. ")</f>
        <v>in case of scales with &lt; 7 possible ratings. </v>
      </c>
      <c r="B51" s="187"/>
      <c r="C51" s="580"/>
      <c r="D51" s="187"/>
      <c r="E51" s="187" t="s">
        <v>67</v>
      </c>
      <c r="F51" s="210"/>
      <c r="G51" s="806">
        <f>IF(TDIST(ABS($H49),$H50,2)&lt;0.005,TDIST(ABS($H49),$H50,2),"")</f>
      </c>
      <c r="H51" s="581">
        <f>IF(TDIST(ABS($H49),$H50,2)&lt;0.005,"",TDIST(ABS($H49),$H50,2))</f>
        <v>0.094177175579222</v>
      </c>
      <c r="I51" s="582"/>
      <c r="J51" s="287"/>
      <c r="K51"/>
    </row>
    <row r="52" spans="1:11" ht="12.75">
      <c r="A52" s="131"/>
      <c r="B52" s="214"/>
      <c r="C52" s="214"/>
      <c r="D52" s="214"/>
      <c r="E52" s="214"/>
      <c r="F52" s="215"/>
      <c r="G52" s="583"/>
      <c r="H52" s="584"/>
      <c r="I52" s="585"/>
      <c r="J52" s="287"/>
      <c r="K52"/>
    </row>
    <row r="53" spans="1:11" ht="12.75">
      <c r="A53" s="121"/>
      <c r="B53" s="133"/>
      <c r="D53" s="133"/>
      <c r="E53" s="133" t="s">
        <v>114</v>
      </c>
      <c r="F53" s="73"/>
      <c r="G53" s="300"/>
      <c r="H53" s="285">
        <f>H46/F183</f>
        <v>-0.23784749015162754</v>
      </c>
      <c r="I53" s="204"/>
      <c r="J53" s="287"/>
      <c r="K53"/>
    </row>
    <row r="54" spans="1:11" ht="12.75">
      <c r="A54" s="121"/>
      <c r="B54" s="133"/>
      <c r="C54" s="133"/>
      <c r="D54" s="133"/>
      <c r="E54" s="133"/>
      <c r="F54" s="73"/>
      <c r="G54" s="300"/>
      <c r="H54" s="301"/>
      <c r="I54" s="204"/>
      <c r="J54" s="287"/>
      <c r="K54"/>
    </row>
    <row r="55" spans="1:11" ht="12.75">
      <c r="A55" s="121"/>
      <c r="B55" s="133"/>
      <c r="D55" s="133"/>
      <c r="E55" s="133" t="s">
        <v>112</v>
      </c>
      <c r="F55" s="73"/>
      <c r="G55" s="300"/>
      <c r="H55" s="304">
        <f>F187/F189</f>
        <v>0.014084507042253521</v>
      </c>
      <c r="I55" s="204"/>
      <c r="J55" s="287"/>
      <c r="K55"/>
    </row>
    <row r="56" spans="1:11" s="11" customFormat="1" ht="13.5" thickBot="1">
      <c r="A56" s="786"/>
      <c r="B56" s="187"/>
      <c r="C56" s="787"/>
      <c r="D56" s="187"/>
      <c r="E56" s="187"/>
      <c r="F56" s="210"/>
      <c r="G56" s="788"/>
      <c r="H56" s="789"/>
      <c r="I56" s="582"/>
      <c r="J56" s="287"/>
      <c r="K56" s="209"/>
    </row>
    <row r="57" spans="1:11" s="11" customFormat="1" ht="12.75">
      <c r="A57" s="131"/>
      <c r="B57" s="214"/>
      <c r="C57" s="790"/>
      <c r="D57" s="214"/>
      <c r="E57" s="791" t="s">
        <v>320</v>
      </c>
      <c r="F57" s="315"/>
      <c r="G57" s="315"/>
      <c r="H57" s="792"/>
      <c r="I57" s="585"/>
      <c r="J57" s="287"/>
      <c r="K57" s="209"/>
    </row>
    <row r="58" spans="1:11" s="11" customFormat="1" ht="13.5" thickBot="1">
      <c r="A58" s="121"/>
      <c r="B58" s="133"/>
      <c r="D58" s="133"/>
      <c r="E58" s="2" t="s">
        <v>304</v>
      </c>
      <c r="F58" s="2"/>
      <c r="G58" s="2"/>
      <c r="H58" s="781"/>
      <c r="I58" s="204"/>
      <c r="J58" s="287"/>
      <c r="K58" s="209"/>
    </row>
    <row r="59" spans="1:11" s="11" customFormat="1" ht="12.75">
      <c r="A59" s="121"/>
      <c r="B59" s="133"/>
      <c r="D59" s="133"/>
      <c r="E59" s="438"/>
      <c r="F59" s="54" t="s">
        <v>301</v>
      </c>
      <c r="G59" s="785">
        <f>IF(I3=1,'Excerpt WDH'!$C$70,"")</f>
      </c>
      <c r="H59" s="781"/>
      <c r="I59" s="204"/>
      <c r="J59" s="287"/>
      <c r="K59" s="209"/>
    </row>
    <row r="60" spans="1:11" s="11" customFormat="1" ht="13.5" thickBot="1">
      <c r="A60" s="121"/>
      <c r="B60" s="133"/>
      <c r="D60" s="133"/>
      <c r="E60" s="438"/>
      <c r="F60" s="54" t="s">
        <v>302</v>
      </c>
      <c r="G60" s="756">
        <f>IF(I3=1,4*G59*G59*G10*G13/(G10+G13),"")</f>
      </c>
      <c r="H60" s="781"/>
      <c r="I60" s="204"/>
      <c r="J60" s="287"/>
      <c r="K60" s="209"/>
    </row>
    <row r="61" spans="1:11" s="11" customFormat="1" ht="13.5" thickBot="1">
      <c r="A61" s="121"/>
      <c r="B61" s="133"/>
      <c r="D61" s="133"/>
      <c r="E61" s="2"/>
      <c r="F61" s="53"/>
      <c r="G61" s="777">
        <f>IF(I3=1,IF(G62&gt;0.05,"NS",""),"")</f>
      </c>
      <c r="H61" s="781"/>
      <c r="I61" s="204"/>
      <c r="J61" s="287"/>
      <c r="K61" s="209"/>
    </row>
    <row r="62" spans="1:11" s="11" customFormat="1" ht="12.75" customHeight="1">
      <c r="A62" s="121"/>
      <c r="B62" s="133"/>
      <c r="D62" s="133"/>
      <c r="E62" s="783" t="s">
        <v>299</v>
      </c>
      <c r="F62" s="779"/>
      <c r="G62" s="773">
        <f>IF(I3=1,IF(CHIDIST(G$60,2)&gt;0.000999,CHIDIST(G$60,2),""),"")</f>
      </c>
      <c r="H62" s="781"/>
      <c r="I62" s="204"/>
      <c r="J62" s="287"/>
      <c r="K62" s="209"/>
    </row>
    <row r="63" spans="1:11" s="11" customFormat="1" ht="13.5" thickBot="1">
      <c r="A63" s="121"/>
      <c r="B63" s="133"/>
      <c r="D63" s="133"/>
      <c r="E63" s="784"/>
      <c r="F63" s="779"/>
      <c r="G63" s="805">
        <f>IF(I3=1,IF(CHIDIST(G$60,2)&lt;0.001,CHIDIST(G$60,2),""),"")</f>
      </c>
      <c r="H63" s="781"/>
      <c r="I63" s="204"/>
      <c r="J63" s="121"/>
      <c r="K63" s="209"/>
    </row>
    <row r="64" spans="1:11" s="11" customFormat="1" ht="13.5" thickBot="1">
      <c r="A64" s="121"/>
      <c r="B64" s="133"/>
      <c r="D64" s="133"/>
      <c r="E64" s="133"/>
      <c r="F64" s="210"/>
      <c r="G64" s="796">
        <f>IF(AND(G10&gt;40,G13&gt;40),"","EXACT CRITICAL VALUES ARE TO BE PREFERRED")</f>
      </c>
      <c r="H64" s="793"/>
      <c r="I64" s="794"/>
      <c r="J64" s="121"/>
      <c r="K64" s="209"/>
    </row>
    <row r="65" spans="1:11" ht="13.5" thickBot="1">
      <c r="A65" s="153"/>
      <c r="B65" s="154"/>
      <c r="C65" s="154"/>
      <c r="D65" s="154"/>
      <c r="E65" s="154"/>
      <c r="F65" s="155"/>
      <c r="G65" s="154"/>
      <c r="H65" s="154"/>
      <c r="I65" s="795"/>
      <c r="J65" s="121"/>
      <c r="K65"/>
    </row>
    <row r="66" spans="1:11" ht="12.75">
      <c r="A66" s="218" t="s">
        <v>113</v>
      </c>
      <c r="B66" s="227"/>
      <c r="C66" s="227"/>
      <c r="D66" s="227"/>
      <c r="E66" s="227"/>
      <c r="F66" s="313"/>
      <c r="G66" s="227"/>
      <c r="H66" s="797"/>
      <c r="J66" s="121"/>
      <c r="K66"/>
    </row>
    <row r="67" spans="1:11" ht="12.75">
      <c r="A67" s="307"/>
      <c r="B67" s="308"/>
      <c r="C67" s="308"/>
      <c r="D67" s="308"/>
      <c r="E67" s="308"/>
      <c r="F67" s="309"/>
      <c r="G67" s="310"/>
      <c r="H67" s="311"/>
      <c r="I67" s="312"/>
      <c r="J67" s="121"/>
      <c r="K67"/>
    </row>
    <row r="68" spans="1:11" ht="12.75">
      <c r="A68" s="307"/>
      <c r="B68" s="308"/>
      <c r="C68" s="308"/>
      <c r="D68" s="308"/>
      <c r="E68" s="308"/>
      <c r="F68" s="309"/>
      <c r="G68" s="310"/>
      <c r="H68" s="311"/>
      <c r="I68" s="312"/>
      <c r="J68" s="121"/>
      <c r="K68"/>
    </row>
    <row r="69" spans="1:11" ht="12.75">
      <c r="A69" s="307"/>
      <c r="B69" s="308"/>
      <c r="C69" s="308"/>
      <c r="D69" s="308"/>
      <c r="E69" s="308"/>
      <c r="F69" s="309"/>
      <c r="G69" s="310"/>
      <c r="H69" s="311"/>
      <c r="I69" s="312"/>
      <c r="J69" s="287"/>
      <c r="K69"/>
    </row>
    <row r="70" spans="1:11" ht="12.75">
      <c r="A70" s="307"/>
      <c r="B70" s="308"/>
      <c r="C70" s="308"/>
      <c r="D70" s="308"/>
      <c r="E70" s="308"/>
      <c r="F70" s="309"/>
      <c r="G70" s="310"/>
      <c r="H70" s="311"/>
      <c r="I70" s="312"/>
      <c r="J70" s="287"/>
      <c r="K70"/>
    </row>
    <row r="71" spans="1:11" ht="12.75">
      <c r="A71" s="307"/>
      <c r="B71" s="308"/>
      <c r="C71" s="308"/>
      <c r="D71" s="308"/>
      <c r="E71" s="308"/>
      <c r="F71" s="309"/>
      <c r="G71" s="310"/>
      <c r="H71" s="311"/>
      <c r="I71" s="312"/>
      <c r="J71" s="287"/>
      <c r="K71"/>
    </row>
    <row r="72" spans="1:11" ht="12.75">
      <c r="A72" s="307"/>
      <c r="B72" s="308"/>
      <c r="C72" s="308"/>
      <c r="D72" s="308"/>
      <c r="E72" s="308"/>
      <c r="F72" s="309"/>
      <c r="G72" s="310"/>
      <c r="H72" s="311"/>
      <c r="I72" s="312"/>
      <c r="J72" s="287"/>
      <c r="K72"/>
    </row>
    <row r="73" spans="1:11" ht="12.75">
      <c r="A73" s="307"/>
      <c r="B73" s="308"/>
      <c r="C73" s="308"/>
      <c r="D73" s="308"/>
      <c r="E73" s="308"/>
      <c r="F73" s="309"/>
      <c r="G73" s="310"/>
      <c r="H73" s="311"/>
      <c r="I73" s="312"/>
      <c r="J73" s="287"/>
      <c r="K73"/>
    </row>
    <row r="74" spans="1:11" ht="12.75">
      <c r="A74" s="307"/>
      <c r="B74" s="308"/>
      <c r="C74" s="308"/>
      <c r="D74" s="308"/>
      <c r="E74" s="308"/>
      <c r="F74" s="309"/>
      <c r="G74" s="310"/>
      <c r="H74" s="311"/>
      <c r="I74" s="312"/>
      <c r="J74" s="287"/>
      <c r="K74"/>
    </row>
    <row r="75" spans="1:11" ht="12.75">
      <c r="A75" s="307"/>
      <c r="B75" s="308"/>
      <c r="C75" s="308"/>
      <c r="D75" s="308"/>
      <c r="E75" s="308"/>
      <c r="F75" s="309"/>
      <c r="G75" s="310"/>
      <c r="H75" s="311"/>
      <c r="I75" s="312"/>
      <c r="J75" s="287"/>
      <c r="K75"/>
    </row>
    <row r="76" spans="1:11" ht="13.5" thickBot="1">
      <c r="A76" s="307"/>
      <c r="B76" s="308"/>
      <c r="C76" s="308"/>
      <c r="D76" s="308"/>
      <c r="E76" s="308"/>
      <c r="F76" s="309"/>
      <c r="G76" s="310"/>
      <c r="H76" s="311"/>
      <c r="I76" s="312"/>
      <c r="J76" s="287"/>
      <c r="K76"/>
    </row>
    <row r="77" spans="1:11" ht="13.5" thickBot="1">
      <c r="A77" s="153"/>
      <c r="B77" s="154"/>
      <c r="C77" s="154"/>
      <c r="D77" s="154"/>
      <c r="E77" s="154"/>
      <c r="F77" s="155"/>
      <c r="G77" s="156"/>
      <c r="H77" s="159"/>
      <c r="I77" s="157"/>
      <c r="J77" s="287"/>
      <c r="K77"/>
    </row>
    <row r="78" spans="1:11" ht="14.25" thickBot="1" thickTop="1">
      <c r="A78" s="109" t="s">
        <v>16</v>
      </c>
      <c r="B78" s="194"/>
      <c r="C78" s="194"/>
      <c r="D78" s="194"/>
      <c r="E78" s="198" t="s">
        <v>70</v>
      </c>
      <c r="F78" s="199"/>
      <c r="G78" s="195"/>
      <c r="H78" s="196"/>
      <c r="I78" s="197"/>
      <c r="J78" s="291"/>
      <c r="K78"/>
    </row>
    <row r="79" spans="1:11" ht="13.5" thickBot="1">
      <c r="A79" s="38"/>
      <c r="B79" s="20"/>
      <c r="C79" s="42"/>
      <c r="D79" s="42"/>
      <c r="E79" s="42"/>
      <c r="F79" s="6"/>
      <c r="G79" s="17"/>
      <c r="H79" s="17"/>
      <c r="I79" s="25"/>
      <c r="J79" s="287"/>
      <c r="K79"/>
    </row>
    <row r="80" spans="1:11" ht="13.5" thickBot="1">
      <c r="A80" s="34"/>
      <c r="B80" s="82" t="s">
        <v>19</v>
      </c>
      <c r="C80" s="10" t="s">
        <v>26</v>
      </c>
      <c r="D80" s="7"/>
      <c r="E80" s="244"/>
      <c r="F80" s="245" t="s">
        <v>232</v>
      </c>
      <c r="G80" s="246"/>
      <c r="H80" s="246"/>
      <c r="I80" s="247"/>
      <c r="J80" s="287"/>
      <c r="K80"/>
    </row>
    <row r="81" spans="1:11" ht="14.25" thickBot="1">
      <c r="A81" s="34"/>
      <c r="B81" s="496" t="s">
        <v>20</v>
      </c>
      <c r="C81" s="9" t="s">
        <v>233</v>
      </c>
      <c r="D81" s="495" t="s">
        <v>21</v>
      </c>
      <c r="E81" s="506"/>
      <c r="F81" s="91" t="s">
        <v>234</v>
      </c>
      <c r="G81" s="100" t="str">
        <f>IF(AND('Excerpt WDH'!$G$22=$G$9,SUM($B$129:$B$141)=$G$10)," ","OUTPUT UNRELIABLE !!")</f>
        <v> </v>
      </c>
      <c r="H81" s="80"/>
      <c r="I81" s="97" t="s">
        <v>235</v>
      </c>
      <c r="J81" s="287"/>
      <c r="K81"/>
    </row>
    <row r="82" spans="1:11" ht="12.75">
      <c r="A82" s="34"/>
      <c r="B82" s="101"/>
      <c r="C82" s="6"/>
      <c r="D82" s="6"/>
      <c r="E82" s="148"/>
      <c r="F82" s="92" t="s">
        <v>17</v>
      </c>
      <c r="G82" s="78" t="s">
        <v>55</v>
      </c>
      <c r="H82" s="170"/>
      <c r="I82" s="25" t="s">
        <v>36</v>
      </c>
      <c r="J82" s="287"/>
      <c r="K82"/>
    </row>
    <row r="83" spans="1:11" ht="13.5" thickBot="1">
      <c r="A83" s="34"/>
      <c r="B83" s="101"/>
      <c r="C83" s="6"/>
      <c r="D83" s="6"/>
      <c r="E83" s="148"/>
      <c r="F83" s="95" t="s">
        <v>18</v>
      </c>
      <c r="G83" s="169" t="s">
        <v>56</v>
      </c>
      <c r="H83" s="292"/>
      <c r="I83" s="98" t="s">
        <v>18</v>
      </c>
      <c r="J83" s="287"/>
      <c r="K83"/>
    </row>
    <row r="84" spans="1:19" ht="12.75">
      <c r="A84" s="34"/>
      <c r="B84" s="500" t="str">
        <f>IF(OR(C84&lt;'Excerpt WDH'!$B$31,C84&gt;'Excerpt WDH'!$E$31)," ",'Excerpt WDH'!E39)</f>
        <v> </v>
      </c>
      <c r="C84" s="113">
        <v>12</v>
      </c>
      <c r="D84" s="111" t="str">
        <f>IF(OR(C84&lt;'Excerpt WDH'!$B$31,C84&gt;'Excerpt WDH'!$E$31)," ",10*(C84-'Excerpt WDH'!B$31)/('Excerpt WDH'!E$31-'Excerpt WDH'!B$31))</f>
        <v> </v>
      </c>
      <c r="E84" s="67"/>
      <c r="F84" s="509">
        <f>IF(OR(C84&lt;B$123-0.1,C84&gt;C$123+0.1),"",'Excerpt WDH'!F39)</f>
      </c>
      <c r="G84" s="77" t="str">
        <f>IF(OR($C129&lt;'Excerpt WDH'!$B$31,$C129&gt;'Excerpt WDH'!$E$31,'Excerpt WDH'!$G$22&lt;'Excerpt WDH'!$E$31,'Excerpt WDH'!$G$22&gt;600)," ",IF($B129&gt;$G$10/200,100*$B129/$G$10,"&lt; 1"))</f>
        <v> </v>
      </c>
      <c r="H84" s="128" t="str">
        <f>IF(OR($C129&lt;'Excerpt WDH'!$B$31,$C129&gt;'Excerpt WDH'!$E$31,'Excerpt WDH'!$G$22&lt;601)," ",IF($B129&gt;$G$10/2000,100*$B129/$G$10,"&lt; 0,1"))</f>
        <v> </v>
      </c>
      <c r="I84" s="94" t="str">
        <f>IF(D$123=1,IF(OR(C84&lt;B$123-0.1,C84&gt;C$123+0.1),"  ",C84)," ")</f>
        <v> </v>
      </c>
      <c r="J84" s="287"/>
      <c r="O84"/>
      <c r="P84"/>
      <c r="Q84"/>
      <c r="R84"/>
      <c r="S84"/>
    </row>
    <row r="85" spans="1:19" ht="12.75">
      <c r="A85" s="34"/>
      <c r="B85" s="500" t="str">
        <f>IF(OR(C85&lt;'Excerpt WDH'!$B$31,C85&gt;'Excerpt WDH'!$E$31)," ",'Excerpt WDH'!E40)</f>
        <v> </v>
      </c>
      <c r="C85" s="113">
        <v>11</v>
      </c>
      <c r="D85" s="111" t="str">
        <f>IF(OR(C85&lt;'Excerpt WDH'!B$31,C85&gt;'Excerpt WDH'!E$31)," ",10*(C85-'Excerpt WDH'!B$31)/('Excerpt WDH'!E$31-'Excerpt WDH'!B$31))</f>
        <v> </v>
      </c>
      <c r="E85" s="67"/>
      <c r="F85" s="748">
        <f>IF(OR(C85&lt;B$123-0.1,C85&gt;C$123+0.1),"",'Excerpt WDH'!F40)</f>
      </c>
      <c r="G85" s="77" t="str">
        <f>IF(OR($C130&lt;'Excerpt WDH'!$B$31,$C130&gt;'Excerpt WDH'!$E$31,'Excerpt WDH'!$G$22&lt;'Excerpt WDH'!$E$31,'Excerpt WDH'!$G$22&gt;600)," ",IF($B130&gt;$G$10/200,100*$B130/$G$10,"&lt; 1"))</f>
        <v> </v>
      </c>
      <c r="H85" s="128" t="str">
        <f>IF(OR($C130&lt;'Excerpt WDH'!$B$31,$C130&gt;'Excerpt WDH'!$E$31,'Excerpt WDH'!$G$22&lt;601)," ",IF($B130&gt;$G$10/2000,100*$B130/$G$10,"&lt; 0,1"))</f>
        <v> </v>
      </c>
      <c r="I85" s="94" t="str">
        <f aca="true" t="shared" si="0" ref="I85:I96">IF(D$123=1,IF(OR(C85&lt;B$123-0.1,C85&gt;C$123+0.1),"  ",C85)," ")</f>
        <v> </v>
      </c>
      <c r="J85" s="287"/>
      <c r="O85"/>
      <c r="P85"/>
      <c r="Q85"/>
      <c r="R85"/>
      <c r="S85"/>
    </row>
    <row r="86" spans="1:19" ht="12.75">
      <c r="A86" s="34"/>
      <c r="B86" s="500" t="str">
        <f>IF(OR(C86&lt;'Excerpt WDH'!$B$31,C86&gt;'Excerpt WDH'!$E$31)," ",'Excerpt WDH'!E41)</f>
        <v> </v>
      </c>
      <c r="C86" s="113">
        <v>10</v>
      </c>
      <c r="D86" s="111" t="str">
        <f>IF(OR(C86&lt;'Excerpt WDH'!B$31,C86&gt;'Excerpt WDH'!E$31)," ",10*(C86-'Excerpt WDH'!B$31)/('Excerpt WDH'!E$31-'Excerpt WDH'!B$31))</f>
        <v> </v>
      </c>
      <c r="E86" s="45"/>
      <c r="F86" s="748">
        <f>IF(OR(C86&lt;B$123-0.1,C86&gt;C$123+0.1),"",'Excerpt WDH'!F41)</f>
      </c>
      <c r="G86" s="77" t="str">
        <f>IF(OR($C131&lt;'Excerpt WDH'!$B$31,$C131&gt;'Excerpt WDH'!$E$31,'Excerpt WDH'!$G$22&lt;'Excerpt WDH'!$E$31,'Excerpt WDH'!$G$22&gt;600)," ",IF($B131&gt;$G$10/200,100*$B131/$G$10,"&lt; 1"))</f>
        <v> </v>
      </c>
      <c r="H86" s="128" t="str">
        <f>IF(OR($C131&lt;'Excerpt WDH'!$B$31,$C131&gt;'Excerpt WDH'!$E$31,'Excerpt WDH'!$G$22&lt;601)," ",IF($B131&gt;$G$10/2000,100*$B131/$G$10,"&lt; 0,1"))</f>
        <v> </v>
      </c>
      <c r="I86" s="94" t="str">
        <f t="shared" si="0"/>
        <v> </v>
      </c>
      <c r="J86" s="287"/>
      <c r="O86"/>
      <c r="P86"/>
      <c r="Q86"/>
      <c r="R86"/>
      <c r="S86"/>
    </row>
    <row r="87" spans="1:19" ht="12.75">
      <c r="A87" s="34"/>
      <c r="B87" s="500" t="str">
        <f>IF(OR(C87&lt;'Excerpt WDH'!$B$31,C87&gt;'Excerpt WDH'!$E$31)," ",'Excerpt WDH'!E42)</f>
        <v> </v>
      </c>
      <c r="C87" s="113">
        <v>9</v>
      </c>
      <c r="D87" s="111" t="str">
        <f>IF(OR(C87&lt;'Excerpt WDH'!B$31,C87&gt;'Excerpt WDH'!E$31)," ",10*(C87-'Excerpt WDH'!B$31)/('Excerpt WDH'!E$31-'Excerpt WDH'!B$31))</f>
        <v> </v>
      </c>
      <c r="E87" s="45"/>
      <c r="F87" s="748">
        <f>IF(OR(C87&lt;B$123-0.1,C87&gt;C$123+0.1),"",'Excerpt WDH'!F42)</f>
      </c>
      <c r="G87" s="77" t="str">
        <f>IF(OR($C132&lt;'Excerpt WDH'!$B$31,$C132&gt;'Excerpt WDH'!$E$31,'Excerpt WDH'!$G$22&lt;'Excerpt WDH'!$E$31,'Excerpt WDH'!$G$22&gt;600)," ",IF($B132&gt;$G$10/200,100*$B132/$G$10,"&lt; 1"))</f>
        <v> </v>
      </c>
      <c r="H87" s="128" t="str">
        <f>IF(OR($C132&lt;'Excerpt WDH'!$B$31,$C132&gt;'Excerpt WDH'!$E$31,'Excerpt WDH'!$G$22&lt;601)," ",IF($B132&gt;$G$10/2000,100*$B132/$G$10,"&lt; 0,1"))</f>
        <v> </v>
      </c>
      <c r="I87" s="94" t="str">
        <f t="shared" si="0"/>
        <v> </v>
      </c>
      <c r="J87" s="287"/>
      <c r="O87"/>
      <c r="P87"/>
      <c r="Q87"/>
      <c r="R87"/>
      <c r="S87"/>
    </row>
    <row r="88" spans="1:19" ht="12.75">
      <c r="A88" s="34"/>
      <c r="B88" s="500" t="str">
        <f>IF(OR(C88&lt;'Excerpt WDH'!$B$31,C88&gt;'Excerpt WDH'!$E$31)," ",'Excerpt WDH'!E43)</f>
        <v> </v>
      </c>
      <c r="C88" s="113">
        <v>8</v>
      </c>
      <c r="D88" s="111" t="str">
        <f>IF(OR(C88&lt;'Excerpt WDH'!B$31,C88&gt;'Excerpt WDH'!E$31)," ",10*(C88-'Excerpt WDH'!B$31)/('Excerpt WDH'!E$31-'Excerpt WDH'!B$31))</f>
        <v> </v>
      </c>
      <c r="E88" s="45"/>
      <c r="F88" s="748">
        <f>IF(OR(C88&lt;B$123-0.1,C88&gt;C$123+0.1),"",'Excerpt WDH'!F43)</f>
      </c>
      <c r="G88" s="77" t="str">
        <f>IF(OR($C133&lt;'Excerpt WDH'!$B$31,$C133&gt;'Excerpt WDH'!$E$31,'Excerpt WDH'!$G$22&lt;'Excerpt WDH'!$E$31,'Excerpt WDH'!$G$22&gt;600)," ",IF($B133&gt;$G$10/200,100*$B133/$G$10,"&lt; 1"))</f>
        <v> </v>
      </c>
      <c r="H88" s="128" t="str">
        <f>IF(OR($C133&lt;'Excerpt WDH'!$B$31,$C133&gt;'Excerpt WDH'!$E$31,'Excerpt WDH'!$G$22&lt;601)," ",IF($B133&gt;$G$10/2000,100*$B133/$G$10,"&lt; 0,1"))</f>
        <v> </v>
      </c>
      <c r="I88" s="94" t="str">
        <f t="shared" si="0"/>
        <v> </v>
      </c>
      <c r="J88" s="287"/>
      <c r="K88"/>
      <c r="L88"/>
      <c r="M88"/>
      <c r="N88"/>
      <c r="O88"/>
      <c r="P88"/>
      <c r="Q88"/>
      <c r="R88"/>
      <c r="S88"/>
    </row>
    <row r="89" spans="1:19" ht="12.75">
      <c r="A89" s="34"/>
      <c r="B89" s="500" t="str">
        <f>IF(OR(C89&lt;'Excerpt WDH'!$B$31,C89&gt;'Excerpt WDH'!$E$31)," ",'Excerpt WDH'!E44)</f>
        <v> </v>
      </c>
      <c r="C89" s="113">
        <v>7</v>
      </c>
      <c r="D89" s="111" t="str">
        <f>IF(OR(C89&lt;'Excerpt WDH'!B$31,C89&gt;'Excerpt WDH'!E$31)," ",10*(C89-'Excerpt WDH'!B$31)/('Excerpt WDH'!E$31-'Excerpt WDH'!B$31))</f>
        <v> </v>
      </c>
      <c r="E89" s="45"/>
      <c r="F89" s="748">
        <f>IF(OR(C89&lt;B$123-0.1,C89&gt;C$123+0.1),"",'Excerpt WDH'!F44)</f>
      </c>
      <c r="G89" s="77" t="str">
        <f>IF(OR($C134&lt;'Excerpt WDH'!$B$31,$C134&gt;'Excerpt WDH'!$E$31,'Excerpt WDH'!$G$22&lt;'Excerpt WDH'!$E$31,'Excerpt WDH'!$G$22&gt;600)," ",IF($B134&gt;$G$10/200,100*$B134/$G$10,"&lt; 1"))</f>
        <v> </v>
      </c>
      <c r="H89" s="128" t="str">
        <f>IF(OR($C134&lt;'Excerpt WDH'!$B$31,$C134&gt;'Excerpt WDH'!$E$31,'Excerpt WDH'!$G$22&lt;601)," ",IF($B134&gt;$G$10/2000,100*$B134/$G$10,"&lt; 0,1"))</f>
        <v> </v>
      </c>
      <c r="I89" s="94" t="str">
        <f t="shared" si="0"/>
        <v> </v>
      </c>
      <c r="J89" s="287"/>
      <c r="K89"/>
      <c r="L89"/>
      <c r="M89"/>
      <c r="N89"/>
      <c r="O89"/>
      <c r="P89"/>
      <c r="Q89"/>
      <c r="R89"/>
      <c r="S89"/>
    </row>
    <row r="90" spans="1:19" ht="12.75">
      <c r="A90" s="34"/>
      <c r="B90" s="500" t="str">
        <f>IF(OR(C90&lt;'Excerpt WDH'!$B$31,C90&gt;'Excerpt WDH'!$E$31)," ",'Excerpt WDH'!E45)</f>
        <v> </v>
      </c>
      <c r="C90" s="113">
        <v>6</v>
      </c>
      <c r="D90" s="111" t="str">
        <f>IF(OR(C90&lt;'Excerpt WDH'!B$31,C90&gt;'Excerpt WDH'!E$31)," ",10*(C90-'Excerpt WDH'!B$31)/('Excerpt WDH'!E$31-'Excerpt WDH'!B$31))</f>
        <v> </v>
      </c>
      <c r="E90" s="45"/>
      <c r="F90" s="748">
        <f>IF(OR(C90&lt;B$123-0.1,C90&gt;C$123+0.1),"",'Excerpt WDH'!F45)</f>
      </c>
      <c r="G90" s="77" t="str">
        <f>IF(OR($C135&lt;'Excerpt WDH'!$B$31,$C135&gt;'Excerpt WDH'!$E$31,'Excerpt WDH'!$G$22&lt;'Excerpt WDH'!$E$31,'Excerpt WDH'!$G$22&gt;600)," ",IF($B135&gt;$G$10/200,100*$B135/$G$10,"&lt; 1"))</f>
        <v> </v>
      </c>
      <c r="H90" s="128" t="str">
        <f>IF(OR($C135&lt;'Excerpt WDH'!$B$31,$C135&gt;'Excerpt WDH'!$E$31,'Excerpt WDH'!$G$22&lt;601)," ",IF($B135&gt;$G$10/2000,100*$B135/$G$10,"&lt; 0,1"))</f>
        <v> </v>
      </c>
      <c r="I90" s="94" t="str">
        <f t="shared" si="0"/>
        <v> </v>
      </c>
      <c r="J90" s="287"/>
      <c r="K90"/>
      <c r="L90"/>
      <c r="M90"/>
      <c r="N90"/>
      <c r="O90"/>
      <c r="P90"/>
      <c r="Q90"/>
      <c r="R90"/>
      <c r="S90"/>
    </row>
    <row r="91" spans="1:19" ht="12.75">
      <c r="A91" s="34"/>
      <c r="B91" s="500" t="str">
        <f>IF(OR(C91&lt;'Excerpt WDH'!$B$31,C91&gt;'Excerpt WDH'!$E$31)," ",'Excerpt WDH'!E46)</f>
        <v> </v>
      </c>
      <c r="C91" s="113">
        <v>5</v>
      </c>
      <c r="D91" s="111" t="str">
        <f>IF(OR(C91&lt;'Excerpt WDH'!B$31,C91&gt;'Excerpt WDH'!E$31)," ",10*(C91-'Excerpt WDH'!B$31)/('Excerpt WDH'!E$31-'Excerpt WDH'!B$31))</f>
        <v> </v>
      </c>
      <c r="E91" s="45"/>
      <c r="F91" s="748">
        <f>IF(OR(C91&lt;B$123-0.1,C91&gt;C$123+0.1),"",'Excerpt WDH'!F46)</f>
      </c>
      <c r="G91" s="77" t="str">
        <f>IF(OR($C136&lt;'Excerpt WDH'!$B$31,$C136&gt;'Excerpt WDH'!$E$31,'Excerpt WDH'!$G$22&lt;'Excerpt WDH'!$E$31,'Excerpt WDH'!$G$22&gt;600)," ",IF($B136&gt;$G$10/200,100*$B136/$G$10,"&lt; 1"))</f>
        <v> </v>
      </c>
      <c r="H91" s="128" t="str">
        <f>IF(OR($C136&lt;'Excerpt WDH'!$B$31,$C136&gt;'Excerpt WDH'!$E$31,'Excerpt WDH'!$G$22&lt;601)," ",IF($B136&gt;$G$10/2000,100*$B136/$G$10,"&lt; 0,1"))</f>
        <v> </v>
      </c>
      <c r="I91" s="94" t="str">
        <f t="shared" si="0"/>
        <v> </v>
      </c>
      <c r="J91" s="287"/>
      <c r="K91"/>
      <c r="L91"/>
      <c r="M91"/>
      <c r="N91"/>
      <c r="O91"/>
      <c r="P91"/>
      <c r="Q91"/>
      <c r="R91"/>
      <c r="S91"/>
    </row>
    <row r="92" spans="1:19" ht="12.75">
      <c r="A92" s="34"/>
      <c r="B92" s="500" t="str">
        <f>IF(OR(C92&lt;'Excerpt WDH'!$B$31,C92&gt;'Excerpt WDH'!$E$31)," ",'Excerpt WDH'!E47)</f>
        <v> </v>
      </c>
      <c r="C92" s="113">
        <v>4</v>
      </c>
      <c r="D92" s="111" t="str">
        <f>IF(OR(C92&lt;'Excerpt WDH'!B$31,C92&gt;'Excerpt WDH'!E$31)," ",10*(C92-'Excerpt WDH'!B$31)/('Excerpt WDH'!E$31-'Excerpt WDH'!B$31))</f>
        <v> </v>
      </c>
      <c r="E92" s="45"/>
      <c r="F92" s="748">
        <f>IF(OR(C92&lt;B$123-0.1,C92&gt;C$123+0.1),"",'Excerpt WDH'!F47)</f>
      </c>
      <c r="G92" s="77" t="str">
        <f>IF(OR($C137&lt;'Excerpt WDH'!$B$31,$C137&gt;'Excerpt WDH'!$E$31,'Excerpt WDH'!$G$22&lt;'Excerpt WDH'!$E$31,'Excerpt WDH'!$G$22&gt;600)," ",IF($B137&gt;$G$10/200,100*$B137/$G$10,"&lt; 1"))</f>
        <v> </v>
      </c>
      <c r="H92" s="128" t="str">
        <f>IF(OR($C137&lt;'Excerpt WDH'!$B$31,$C137&gt;'Excerpt WDH'!$E$31,'Excerpt WDH'!$G$22&lt;601)," ",IF($B137&gt;$G$10/2000,100*$B137/$G$10,"&lt; 0,1"))</f>
        <v> </v>
      </c>
      <c r="I92" s="94" t="str">
        <f t="shared" si="0"/>
        <v> </v>
      </c>
      <c r="J92" s="287"/>
      <c r="K92"/>
      <c r="L92"/>
      <c r="M92"/>
      <c r="N92"/>
      <c r="O92"/>
      <c r="P92"/>
      <c r="Q92"/>
      <c r="R92"/>
      <c r="S92"/>
    </row>
    <row r="93" spans="1:19" ht="12.75">
      <c r="A93" s="34"/>
      <c r="B93" s="500">
        <f>IF(OR(C93&lt;'Excerpt WDH'!$B$31,C93&gt;'Excerpt WDH'!$E$31)," ",'Excerpt WDH'!E48)</f>
        <v>50</v>
      </c>
      <c r="C93" s="113">
        <v>3</v>
      </c>
      <c r="D93" s="111">
        <f>IF(OR(C93&lt;'Excerpt WDH'!B$31,C93&gt;'Excerpt WDH'!E$31)," ",10*(C93-'Excerpt WDH'!B$31)/('Excerpt WDH'!E$31-'Excerpt WDH'!B$31))</f>
        <v>10</v>
      </c>
      <c r="E93" s="45"/>
      <c r="F93" s="748">
        <f>IF(OR(C93&lt;B$123-0.1,C93&gt;C$123+0.1),"",'Excerpt WDH'!F48)</f>
        <v>3</v>
      </c>
      <c r="G93" s="77">
        <f>IF(OR($C138&lt;'Excerpt WDH'!$B$31,$C138&gt;'Excerpt WDH'!$E$31,'Excerpt WDH'!$G$22&lt;'Excerpt WDH'!$E$31,'Excerpt WDH'!$G$22&gt;600)," ",IF($B138&gt;$G$10/200,100*$B138/$G$10,"&lt; 1"))</f>
        <v>50</v>
      </c>
      <c r="H93" s="128" t="str">
        <f>IF(OR($C138&lt;'Excerpt WDH'!$B$31,$C138&gt;'Excerpt WDH'!$E$31,'Excerpt WDH'!$G$22&lt;601)," ",IF($B138&gt;$G$10/2000,100*$B138/$G$10,"&lt; 0,1"))</f>
        <v> </v>
      </c>
      <c r="I93" s="94" t="str">
        <f t="shared" si="0"/>
        <v> </v>
      </c>
      <c r="J93" s="287"/>
      <c r="K93"/>
      <c r="L93"/>
      <c r="M93"/>
      <c r="N93"/>
      <c r="O93"/>
      <c r="P93"/>
      <c r="Q93"/>
      <c r="R93"/>
      <c r="S93"/>
    </row>
    <row r="94" spans="1:19" ht="12.75">
      <c r="A94" s="34"/>
      <c r="B94" s="500">
        <f>IF(OR(C94&lt;'Excerpt WDH'!$B$31,C94&gt;'Excerpt WDH'!$E$31)," ",'Excerpt WDH'!E49)</f>
        <v>20</v>
      </c>
      <c r="C94" s="113">
        <v>2</v>
      </c>
      <c r="D94" s="111">
        <f>IF(OR(C94&lt;'Excerpt WDH'!B$31,C94&gt;'Excerpt WDH'!E$31)," ",10*(C94-'Excerpt WDH'!B$31)/('Excerpt WDH'!E$31-'Excerpt WDH'!B$31))</f>
        <v>5</v>
      </c>
      <c r="E94" s="45"/>
      <c r="F94" s="748">
        <f>IF(OR(C94&lt;B$123-0.1,C94&gt;C$123+0.1),"",'Excerpt WDH'!F49)</f>
        <v>2</v>
      </c>
      <c r="G94" s="77">
        <f>IF(OR($C139&lt;'Excerpt WDH'!$B$31,$C139&gt;'Excerpt WDH'!$E$31,'Excerpt WDH'!$G$22&lt;'Excerpt WDH'!$E$31,'Excerpt WDH'!$G$22&gt;600)," ",IF($B139&gt;$G$10/200,100*$B139/$G$10,"&lt; 1"))</f>
        <v>20</v>
      </c>
      <c r="H94" s="128" t="str">
        <f>IF(OR($C139&lt;'Excerpt WDH'!$B$31,$C139&gt;'Excerpt WDH'!$E$31,'Excerpt WDH'!$G$22&lt;601)," ",IF($B139&gt;$G$10/2000,100*$B139/$G$10,"&lt; 0,1"))</f>
        <v> </v>
      </c>
      <c r="I94" s="94" t="str">
        <f t="shared" si="0"/>
        <v> </v>
      </c>
      <c r="J94" s="287"/>
      <c r="K94"/>
      <c r="L94"/>
      <c r="M94"/>
      <c r="N94"/>
      <c r="O94"/>
      <c r="P94"/>
      <c r="Q94"/>
      <c r="R94"/>
      <c r="S94"/>
    </row>
    <row r="95" spans="1:19" ht="12.75">
      <c r="A95" s="34"/>
      <c r="B95" s="500">
        <f>IF(OR(C95&lt;'Excerpt WDH'!$B$31,C95&gt;'Excerpt WDH'!$E$31)," ",'Excerpt WDH'!E50)</f>
        <v>30</v>
      </c>
      <c r="C95" s="113">
        <v>1</v>
      </c>
      <c r="D95" s="111">
        <f>IF(OR(C95&lt;'Excerpt WDH'!B$31,C95&gt;'Excerpt WDH'!E$31)," ",10*(C95-'Excerpt WDH'!B$31)/('Excerpt WDH'!E$31-'Excerpt WDH'!B$31))</f>
        <v>0</v>
      </c>
      <c r="E95" s="45"/>
      <c r="F95" s="748">
        <f>IF(OR(C95&lt;B$123-0.1,C95&gt;C$123+0.1),"",'Excerpt WDH'!F50)</f>
        <v>1</v>
      </c>
      <c r="G95" s="77">
        <f>IF(OR($C140&lt;'Excerpt WDH'!$B$31,$C140&gt;'Excerpt WDH'!$E$31,'Excerpt WDH'!$G$22&lt;'Excerpt WDH'!$E$31,'Excerpt WDH'!$G$22&gt;600)," ",IF($B140&gt;$G$10/200,100*$B140/$G$10,"&lt; 1"))</f>
        <v>30</v>
      </c>
      <c r="H95" s="128" t="str">
        <f>IF(OR($C140&lt;'Excerpt WDH'!$B$31,$C140&gt;'Excerpt WDH'!$E$31,'Excerpt WDH'!$G$22&lt;601)," ",IF($B140&gt;$G$10/2000,100*$B140/$G$10,"&lt; 0,1"))</f>
        <v> </v>
      </c>
      <c r="I95" s="94" t="str">
        <f t="shared" si="0"/>
        <v> </v>
      </c>
      <c r="J95" s="287"/>
      <c r="K95"/>
      <c r="L95"/>
      <c r="M95"/>
      <c r="N95"/>
      <c r="O95"/>
      <c r="P95"/>
      <c r="Q95"/>
      <c r="R95"/>
      <c r="S95"/>
    </row>
    <row r="96" spans="1:19" ht="13.5" thickBot="1">
      <c r="A96" s="34"/>
      <c r="B96" s="500" t="str">
        <f>IF(OR(C96&lt;'Excerpt WDH'!$B$31,C96&gt;'Excerpt WDH'!$E$31)," ",'Excerpt WDH'!E51)</f>
        <v> </v>
      </c>
      <c r="C96" s="114">
        <v>0</v>
      </c>
      <c r="D96" s="112" t="str">
        <f>IF(OR(C96&lt;'Excerpt WDH'!B$31,C96&gt;'Excerpt WDH'!E$31)," ",10*(C96-'Excerpt WDH'!B$31)/('Excerpt WDH'!E$31-'Excerpt WDH'!B$31))</f>
        <v> </v>
      </c>
      <c r="E96" s="45"/>
      <c r="F96" s="749">
        <f>IF(OR(C96&lt;B$123-0.1,C96&gt;C$123+0.1),"",'Excerpt WDH'!F51)</f>
      </c>
      <c r="G96" s="822" t="str">
        <f>IF(OR($C141&lt;'Excerpt WDH'!$B$31,$C141&gt;'Excerpt WDH'!$E$31,'Excerpt WDH'!$G$22&lt;'Excerpt WDH'!$E$31,'Excerpt WDH'!$G$22&gt;600)," ",IF($B141&gt;$G$10/200,100*$B141/$G$10,"&lt; 1"))</f>
        <v> </v>
      </c>
      <c r="H96" s="128" t="str">
        <f>IF(OR($C141&lt;'Excerpt WDH'!$B$31,$C141&gt;'Excerpt WDH'!$E$31,'Excerpt WDH'!$G$22&lt;601)," ",IF($B141&gt;$G$10/2000,100*$B141/$G$10,"&lt; 0,1"))</f>
        <v> </v>
      </c>
      <c r="I96" s="94" t="str">
        <f t="shared" si="0"/>
        <v> </v>
      </c>
      <c r="J96" s="287"/>
      <c r="K96"/>
      <c r="L96"/>
      <c r="M96"/>
      <c r="N96"/>
      <c r="O96"/>
      <c r="P96"/>
      <c r="Q96"/>
      <c r="R96"/>
      <c r="S96"/>
    </row>
    <row r="97" spans="1:19" ht="13.5" thickBot="1">
      <c r="A97" s="34"/>
      <c r="B97" s="462">
        <f>'Excerpt WDH'!E53</f>
        <v>0</v>
      </c>
      <c r="C97" s="231" t="s">
        <v>53</v>
      </c>
      <c r="D97" s="463"/>
      <c r="E97" s="507" t="s">
        <v>76</v>
      </c>
      <c r="F97" s="167" t="s">
        <v>58</v>
      </c>
      <c r="G97" s="171">
        <f>IF(OR((SUM($B84:$B96))=(SUM($B84:$B97)),'Excerpt WDH'!G22&gt;600),"",100*$B97/(SUM($B84:$B97)))</f>
      </c>
      <c r="H97" s="168">
        <f>IF(OR((SUM($B84:$B96))=(SUM($B84:$B97)),'Excerpt WDH'!G22&lt;601),"",100*$B97/(SUM($B84:$B97)))</f>
      </c>
      <c r="I97" s="181"/>
      <c r="J97" s="287"/>
      <c r="K97"/>
      <c r="L97"/>
      <c r="M97"/>
      <c r="N97"/>
      <c r="O97"/>
      <c r="P97"/>
      <c r="Q97"/>
      <c r="R97"/>
      <c r="S97"/>
    </row>
    <row r="98" spans="1:18" ht="13.5" thickBot="1">
      <c r="A98" s="34"/>
      <c r="B98" s="845" t="s">
        <v>54</v>
      </c>
      <c r="C98" s="846"/>
      <c r="D98" s="847"/>
      <c r="E98" s="508">
        <v>1</v>
      </c>
      <c r="F98" s="176"/>
      <c r="G98" s="177"/>
      <c r="H98" s="183" t="s">
        <v>59</v>
      </c>
      <c r="I98" s="182">
        <f>MAX(SUM(G84:G96),SUM(H84:H96))</f>
        <v>100</v>
      </c>
      <c r="J98" s="287"/>
      <c r="K98"/>
      <c r="L98"/>
      <c r="M98"/>
      <c r="N98"/>
      <c r="O98"/>
      <c r="P98"/>
      <c r="Q98"/>
      <c r="R98"/>
    </row>
    <row r="99" spans="1:26" ht="13.5" thickBot="1">
      <c r="A99" s="34"/>
      <c r="B99" s="6"/>
      <c r="C99" s="6"/>
      <c r="D99" s="6"/>
      <c r="E99" s="6"/>
      <c r="F99" s="6"/>
      <c r="G99" s="6"/>
      <c r="H99" s="6"/>
      <c r="I99" s="5"/>
      <c r="J99" s="287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1:26" ht="13.5" thickBot="1">
      <c r="A100" s="153"/>
      <c r="B100" s="154"/>
      <c r="C100" s="154"/>
      <c r="D100" s="154"/>
      <c r="E100" s="154"/>
      <c r="F100" s="155"/>
      <c r="G100" s="156"/>
      <c r="H100" s="159"/>
      <c r="I100" s="157"/>
      <c r="J100" s="287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1:26" ht="13.5" thickBot="1">
      <c r="A101" s="202"/>
      <c r="B101" s="133"/>
      <c r="C101" s="133"/>
      <c r="D101" s="133"/>
      <c r="E101" s="198" t="s">
        <v>71</v>
      </c>
      <c r="F101" s="199"/>
      <c r="G101" s="205"/>
      <c r="H101" s="115"/>
      <c r="I101" s="204"/>
      <c r="J101" s="287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1:11" ht="13.5" thickBot="1">
      <c r="A102" s="38"/>
      <c r="B102" s="20"/>
      <c r="C102" s="42"/>
      <c r="D102" s="42"/>
      <c r="E102" s="42"/>
      <c r="F102" s="6"/>
      <c r="G102" s="17"/>
      <c r="H102" s="17"/>
      <c r="I102" s="25"/>
      <c r="J102" s="287"/>
      <c r="K102"/>
    </row>
    <row r="103" spans="1:11" ht="13.5" thickBot="1">
      <c r="A103" s="34"/>
      <c r="B103" s="82" t="s">
        <v>19</v>
      </c>
      <c r="C103" s="10" t="s">
        <v>26</v>
      </c>
      <c r="D103" s="7"/>
      <c r="E103" s="244"/>
      <c r="F103" s="245" t="s">
        <v>232</v>
      </c>
      <c r="G103" s="246"/>
      <c r="H103" s="246"/>
      <c r="I103" s="247"/>
      <c r="J103" s="287"/>
      <c r="K103"/>
    </row>
    <row r="104" spans="1:11" ht="14.25" thickBot="1">
      <c r="A104" s="34"/>
      <c r="B104" s="496" t="s">
        <v>20</v>
      </c>
      <c r="C104" s="9" t="s">
        <v>233</v>
      </c>
      <c r="D104" s="495" t="s">
        <v>21</v>
      </c>
      <c r="E104" s="506"/>
      <c r="F104" s="91" t="s">
        <v>234</v>
      </c>
      <c r="G104" s="100" t="str">
        <f>IF(AND('Excerpt WDH'!$G$22=$G$9,SUM($B$129:$B$141)=$G$10)," ","OUTPUT UNRELIABLE !!")</f>
        <v> </v>
      </c>
      <c r="H104" s="80"/>
      <c r="I104" s="97" t="s">
        <v>235</v>
      </c>
      <c r="J104" s="287"/>
      <c r="K104"/>
    </row>
    <row r="105" spans="1:11" ht="12.75">
      <c r="A105" s="34"/>
      <c r="B105" s="101"/>
      <c r="C105" s="6"/>
      <c r="D105" s="6"/>
      <c r="E105" s="148"/>
      <c r="F105" s="92" t="s">
        <v>17</v>
      </c>
      <c r="G105" s="78" t="s">
        <v>55</v>
      </c>
      <c r="H105" s="170"/>
      <c r="I105" s="25" t="s">
        <v>36</v>
      </c>
      <c r="J105" s="287"/>
      <c r="K105"/>
    </row>
    <row r="106" spans="1:11" ht="13.5" thickBot="1">
      <c r="A106" s="34"/>
      <c r="B106" s="101"/>
      <c r="C106" s="6"/>
      <c r="D106" s="6"/>
      <c r="E106" s="148"/>
      <c r="F106" s="95" t="s">
        <v>18</v>
      </c>
      <c r="G106" s="169" t="s">
        <v>56</v>
      </c>
      <c r="H106" s="292"/>
      <c r="I106" s="98" t="s">
        <v>18</v>
      </c>
      <c r="J106" s="287"/>
      <c r="K106"/>
    </row>
    <row r="107" spans="1:11" ht="12.75">
      <c r="A107" s="34"/>
      <c r="B107" s="500" t="str">
        <f>IF(OR(C107&lt;'Excerpt WDH'!$B$31,C107&gt;'Excerpt WDH'!$E$31)," ",'Excerpt WDH'!G39)</f>
        <v> </v>
      </c>
      <c r="C107" s="113">
        <v>12</v>
      </c>
      <c r="D107" s="111" t="str">
        <f>IF(OR(C107&lt;'Excerpt WDH'!$B$31,C107&gt;'Excerpt WDH'!$E$31)," ",10*(C107-'Excerpt WDH'!B$31)/('Excerpt WDH'!E$31-'Excerpt WDH'!B$31))</f>
        <v> </v>
      </c>
      <c r="E107" s="67"/>
      <c r="F107" s="509">
        <f>IF(OR(C107&lt;B$123-0.1,C107&gt;C$123+0.1),"",'Excerpt WDH'!F39)</f>
      </c>
      <c r="G107" s="77" t="str">
        <f>IF(OR($C157&lt;'Excerpt WDH'!$B$31,$C157&gt;'Excerpt WDH'!$E$31,'Excerpt WDH'!$G$25&lt;'Excerpt WDH'!$E$31,'Excerpt WDH'!$G$25&gt;600)," ",IF($B157&gt;$G$13/200,100*$B157/$G$13,"&lt; 1"))</f>
        <v> </v>
      </c>
      <c r="H107" s="128" t="str">
        <f>IF(OR($C157&lt;'Excerpt WDH'!$B$31,$C157&gt;'Excerpt WDH'!$E$31,'Excerpt WDH'!$G$25&lt;601)," ",IF($B157&gt;$G$13/2000,100*$B157/$G$13,"&lt; 0,1"))</f>
        <v> </v>
      </c>
      <c r="I107" s="501" t="str">
        <f>IF(D$123=1,IF(OR(C107&lt;B$123-0.1,C107&gt;C$123+0.1),"  ",C107)," ")</f>
        <v> </v>
      </c>
      <c r="J107" s="287"/>
      <c r="K107"/>
    </row>
    <row r="108" spans="1:11" ht="12.75">
      <c r="A108" s="34"/>
      <c r="B108" s="500" t="str">
        <f>IF(OR(C108&lt;'Excerpt WDH'!$B$31,C108&gt;'Excerpt WDH'!$E$31)," ",'Excerpt WDH'!G40)</f>
        <v> </v>
      </c>
      <c r="C108" s="113">
        <v>11</v>
      </c>
      <c r="D108" s="111" t="str">
        <f>IF(OR(C108&lt;'Excerpt WDH'!B$31,C108&gt;'Excerpt WDH'!E$31)," ",10*(C108-'Excerpt WDH'!B$31)/('Excerpt WDH'!E$31-'Excerpt WDH'!B$31))</f>
        <v> </v>
      </c>
      <c r="E108" s="67"/>
      <c r="F108" s="748">
        <f>IF(OR(C108&lt;B$123-0.1,C108&gt;C$123+0.1),"",'Excerpt WDH'!F40)</f>
      </c>
      <c r="G108" s="77" t="str">
        <f>IF(OR($C158&lt;'Excerpt WDH'!$B$31,$C158&gt;'Excerpt WDH'!$E$31,'Excerpt WDH'!$G$25&lt;'Excerpt WDH'!$E$31,'Excerpt WDH'!$G$25&gt;600)," ",IF($B158&gt;$G$13/200,100*$B158/$G$13,"&lt; 1"))</f>
        <v> </v>
      </c>
      <c r="H108" s="128" t="str">
        <f>IF(OR($C158&lt;'Excerpt WDH'!$B$31,$C158&gt;'Excerpt WDH'!$E$31,'Excerpt WDH'!$G$25&lt;601)," ",IF($B158&gt;$G$13/2000,100*$B158/$G$13,"&lt; 0,1"))</f>
        <v> </v>
      </c>
      <c r="I108" s="501" t="str">
        <f aca="true" t="shared" si="1" ref="I108:I119">IF(D$123=1,IF(OR(C108&lt;B$123-0.1,C108&gt;C$123+0.1),"  ",C108)," ")</f>
        <v> </v>
      </c>
      <c r="J108" s="287"/>
      <c r="K108"/>
    </row>
    <row r="109" spans="1:11" ht="12.75">
      <c r="A109" s="34"/>
      <c r="B109" s="500" t="str">
        <f>IF(OR(C109&lt;'Excerpt WDH'!$B$31,C109&gt;'Excerpt WDH'!$E$31)," ",'Excerpt WDH'!G41)</f>
        <v> </v>
      </c>
      <c r="C109" s="113">
        <v>10</v>
      </c>
      <c r="D109" s="111" t="str">
        <f>IF(OR(C109&lt;'Excerpt WDH'!B$31,C109&gt;'Excerpt WDH'!E$31)," ",10*(C109-'Excerpt WDH'!B$31)/('Excerpt WDH'!E$31-'Excerpt WDH'!B$31))</f>
        <v> </v>
      </c>
      <c r="E109" s="45"/>
      <c r="F109" s="748">
        <f>IF(OR(C109&lt;B$123-0.1,C109&gt;C$123+0.1),"",'Excerpt WDH'!F41)</f>
      </c>
      <c r="G109" s="77" t="str">
        <f>IF(OR($C159&lt;'Excerpt WDH'!$B$31,$C159&gt;'Excerpt WDH'!$E$31,'Excerpt WDH'!$G$25&lt;'Excerpt WDH'!$E$31,'Excerpt WDH'!$G$25&gt;600)," ",IF($B159&gt;$G$13/200,100*$B159/$G$13,"&lt; 1"))</f>
        <v> </v>
      </c>
      <c r="H109" s="128" t="str">
        <f>IF(OR($C159&lt;'Excerpt WDH'!$B$31,$C159&gt;'Excerpt WDH'!$E$31,'Excerpt WDH'!$G$25&lt;601)," ",IF($B159&gt;$G$13/2000,100*$B159/$G$13,"&lt; 0,1"))</f>
        <v> </v>
      </c>
      <c r="I109" s="501" t="str">
        <f t="shared" si="1"/>
        <v> </v>
      </c>
      <c r="J109" s="287"/>
      <c r="K109"/>
    </row>
    <row r="110" spans="1:11" ht="12.75">
      <c r="A110" s="34"/>
      <c r="B110" s="500" t="str">
        <f>IF(OR(C110&lt;'Excerpt WDH'!$B$31,C110&gt;'Excerpt WDH'!$E$31)," ",'Excerpt WDH'!G42)</f>
        <v> </v>
      </c>
      <c r="C110" s="113">
        <v>9</v>
      </c>
      <c r="D110" s="111" t="str">
        <f>IF(OR(C110&lt;'Excerpt WDH'!B$31,C110&gt;'Excerpt WDH'!E$31)," ",10*(C110-'Excerpt WDH'!B$31)/('Excerpt WDH'!E$31-'Excerpt WDH'!B$31))</f>
        <v> </v>
      </c>
      <c r="E110" s="45"/>
      <c r="F110" s="748">
        <f>IF(OR(C110&lt;B$123-0.1,C110&gt;C$123+0.1),"",'Excerpt WDH'!F42)</f>
      </c>
      <c r="G110" s="77" t="str">
        <f>IF(OR($C160&lt;'Excerpt WDH'!$B$31,$C160&gt;'Excerpt WDH'!$E$31,'Excerpt WDH'!$G$25&lt;'Excerpt WDH'!$E$31,'Excerpt WDH'!$G$25&gt;600)," ",IF($B160&gt;$G$13/200,100*$B160/$G$13,"&lt; 1"))</f>
        <v> </v>
      </c>
      <c r="H110" s="128" t="str">
        <f>IF(OR($C160&lt;'Excerpt WDH'!$B$31,$C160&gt;'Excerpt WDH'!$E$31,'Excerpt WDH'!$G$25&lt;601)," ",IF($B160&gt;$G$13/2000,100*$B160/$G$13,"&lt; 0,1"))</f>
        <v> </v>
      </c>
      <c r="I110" s="501" t="str">
        <f t="shared" si="1"/>
        <v> </v>
      </c>
      <c r="J110" s="287"/>
      <c r="K110"/>
    </row>
    <row r="111" spans="1:11" ht="12.75">
      <c r="A111" s="34"/>
      <c r="B111" s="500" t="str">
        <f>IF(OR(C111&lt;'Excerpt WDH'!$B$31,C111&gt;'Excerpt WDH'!$E$31)," ",'Excerpt WDH'!G43)</f>
        <v> </v>
      </c>
      <c r="C111" s="113">
        <v>8</v>
      </c>
      <c r="D111" s="111" t="str">
        <f>IF(OR(C111&lt;'Excerpt WDH'!B$31,C111&gt;'Excerpt WDH'!E$31)," ",10*(C111-'Excerpt WDH'!B$31)/('Excerpt WDH'!E$31-'Excerpt WDH'!B$31))</f>
        <v> </v>
      </c>
      <c r="E111" s="45"/>
      <c r="F111" s="748">
        <f>IF(OR(C111&lt;B$123-0.1,C111&gt;C$123+0.1),"",'Excerpt WDH'!F43)</f>
      </c>
      <c r="G111" s="77" t="str">
        <f>IF(OR($C161&lt;'Excerpt WDH'!$B$31,$C161&gt;'Excerpt WDH'!$E$31,'Excerpt WDH'!$G$25&lt;'Excerpt WDH'!$E$31,'Excerpt WDH'!$G$25&gt;600)," ",IF($B161&gt;$G$13/200,100*$B161/$G$13,"&lt; 1"))</f>
        <v> </v>
      </c>
      <c r="H111" s="128" t="str">
        <f>IF(OR($C161&lt;'Excerpt WDH'!$B$31,$C161&gt;'Excerpt WDH'!$E$31,'Excerpt WDH'!$G$25&lt;601)," ",IF($B161&gt;$G$13/2000,100*$B161/$G$13,"&lt; 0,1"))</f>
        <v> </v>
      </c>
      <c r="I111" s="501" t="str">
        <f t="shared" si="1"/>
        <v> </v>
      </c>
      <c r="J111" s="287"/>
      <c r="K111"/>
    </row>
    <row r="112" spans="1:11" ht="12.75">
      <c r="A112" s="34"/>
      <c r="B112" s="500" t="str">
        <f>IF(OR(C112&lt;'Excerpt WDH'!$B$31,C112&gt;'Excerpt WDH'!$E$31)," ",'Excerpt WDH'!G44)</f>
        <v> </v>
      </c>
      <c r="C112" s="113">
        <v>7</v>
      </c>
      <c r="D112" s="111" t="str">
        <f>IF(OR(C112&lt;'Excerpt WDH'!B$31,C112&gt;'Excerpt WDH'!E$31)," ",10*(C112-'Excerpt WDH'!B$31)/('Excerpt WDH'!E$31-'Excerpt WDH'!B$31))</f>
        <v> </v>
      </c>
      <c r="E112" s="45"/>
      <c r="F112" s="748">
        <f>IF(OR(C112&lt;B$123-0.1,C112&gt;C$123+0.1),"",'Excerpt WDH'!F44)</f>
      </c>
      <c r="G112" s="77" t="str">
        <f>IF(OR($C162&lt;'Excerpt WDH'!$B$31,$C162&gt;'Excerpt WDH'!$E$31,'Excerpt WDH'!$G$25&lt;'Excerpt WDH'!$E$31,'Excerpt WDH'!$G$25&gt;600)," ",IF($B162&gt;$G$13/200,100*$B162/$G$13,"&lt; 1"))</f>
        <v> </v>
      </c>
      <c r="H112" s="128" t="str">
        <f>IF(OR($C162&lt;'Excerpt WDH'!$B$31,$C162&gt;'Excerpt WDH'!$E$31,'Excerpt WDH'!$G$25&lt;601)," ",IF($B162&gt;$G$13/2000,100*$B162/$G$13,"&lt; 0,1"))</f>
        <v> </v>
      </c>
      <c r="I112" s="501" t="str">
        <f t="shared" si="1"/>
        <v> </v>
      </c>
      <c r="J112" s="287"/>
      <c r="K112"/>
    </row>
    <row r="113" spans="1:11" ht="12.75">
      <c r="A113" s="34"/>
      <c r="B113" s="500" t="str">
        <f>IF(OR(C113&lt;'Excerpt WDH'!$B$31,C113&gt;'Excerpt WDH'!$E$31)," ",'Excerpt WDH'!G45)</f>
        <v> </v>
      </c>
      <c r="C113" s="113">
        <v>6</v>
      </c>
      <c r="D113" s="111" t="str">
        <f>IF(OR(C113&lt;'Excerpt WDH'!B$31,C113&gt;'Excerpt WDH'!E$31)," ",10*(C113-'Excerpt WDH'!B$31)/('Excerpt WDH'!E$31-'Excerpt WDH'!B$31))</f>
        <v> </v>
      </c>
      <c r="E113" s="45"/>
      <c r="F113" s="748">
        <f>IF(OR(C113&lt;B$123-0.1,C113&gt;C$123+0.1),"",'Excerpt WDH'!F45)</f>
      </c>
      <c r="G113" s="77" t="str">
        <f>IF(OR($C163&lt;'Excerpt WDH'!$B$31,$C163&gt;'Excerpt WDH'!$E$31,'Excerpt WDH'!$G$25&lt;'Excerpt WDH'!$E$31,'Excerpt WDH'!$G$25&gt;600)," ",IF($B163&gt;$G$13/200,100*$B163/$G$13,"&lt; 1"))</f>
        <v> </v>
      </c>
      <c r="H113" s="128" t="str">
        <f>IF(OR($C163&lt;'Excerpt WDH'!$B$31,$C163&gt;'Excerpt WDH'!$E$31,'Excerpt WDH'!$G$25&lt;601)," ",IF($B163&gt;$G$13/2000,100*$B163/$G$13,"&lt; 0,1"))</f>
        <v> </v>
      </c>
      <c r="I113" s="501" t="str">
        <f t="shared" si="1"/>
        <v> </v>
      </c>
      <c r="J113" s="287"/>
      <c r="K113"/>
    </row>
    <row r="114" spans="1:11" ht="12.75">
      <c r="A114" s="34"/>
      <c r="B114" s="500" t="str">
        <f>IF(OR(C114&lt;'Excerpt WDH'!$B$31,C114&gt;'Excerpt WDH'!$E$31)," ",'Excerpt WDH'!G46)</f>
        <v> </v>
      </c>
      <c r="C114" s="113">
        <v>5</v>
      </c>
      <c r="D114" s="111" t="str">
        <f>IF(OR(C114&lt;'Excerpt WDH'!B$31,C114&gt;'Excerpt WDH'!E$31)," ",10*(C114-'Excerpt WDH'!B$31)/('Excerpt WDH'!E$31-'Excerpt WDH'!B$31))</f>
        <v> </v>
      </c>
      <c r="E114" s="45"/>
      <c r="F114" s="748">
        <f>IF(OR(C114&lt;B$123-0.1,C114&gt;C$123+0.1),"",'Excerpt WDH'!F46)</f>
      </c>
      <c r="G114" s="77" t="str">
        <f>IF(OR($C164&lt;'Excerpt WDH'!$B$31,$C164&gt;'Excerpt WDH'!$E$31,'Excerpt WDH'!$G$25&lt;'Excerpt WDH'!$E$31,'Excerpt WDH'!$G$25&gt;600)," ",IF($B164&gt;$G$13/200,100*$B164/$G$13,"&lt; 1"))</f>
        <v> </v>
      </c>
      <c r="H114" s="128" t="str">
        <f>IF(OR($C164&lt;'Excerpt WDH'!$B$31,$C164&gt;'Excerpt WDH'!$E$31,'Excerpt WDH'!$G$25&lt;601)," ",IF($B164&gt;$G$13/2000,100*$B164/$G$13,"&lt; 0,1"))</f>
        <v> </v>
      </c>
      <c r="I114" s="501" t="str">
        <f t="shared" si="1"/>
        <v> </v>
      </c>
      <c r="J114" s="287"/>
      <c r="K114"/>
    </row>
    <row r="115" spans="1:11" ht="12.75">
      <c r="A115" s="34"/>
      <c r="B115" s="500" t="str">
        <f>IF(OR(C115&lt;'Excerpt WDH'!$B$31,C115&gt;'Excerpt WDH'!$E$31)," ",'Excerpt WDH'!G47)</f>
        <v> </v>
      </c>
      <c r="C115" s="113">
        <v>4</v>
      </c>
      <c r="D115" s="111" t="str">
        <f>IF(OR(C115&lt;'Excerpt WDH'!B$31,C115&gt;'Excerpt WDH'!E$31)," ",10*(C115-'Excerpt WDH'!B$31)/('Excerpt WDH'!E$31-'Excerpt WDH'!B$31))</f>
        <v> </v>
      </c>
      <c r="E115" s="45"/>
      <c r="F115" s="748">
        <f>IF(OR(C115&lt;B$123-0.1,C115&gt;C$123+0.1),"",'Excerpt WDH'!F47)</f>
      </c>
      <c r="G115" s="77" t="str">
        <f>IF(OR($C165&lt;'Excerpt WDH'!$B$31,$C165&gt;'Excerpt WDH'!$E$31,'Excerpt WDH'!$G$25&lt;'Excerpt WDH'!$E$31,'Excerpt WDH'!$G$25&gt;600)," ",IF($B165&gt;$G$13/200,100*$B165/$G$13,"&lt; 1"))</f>
        <v> </v>
      </c>
      <c r="H115" s="128" t="str">
        <f>IF(OR($C165&lt;'Excerpt WDH'!$B$31,$C165&gt;'Excerpt WDH'!$E$31,'Excerpt WDH'!$G$25&lt;601)," ",IF($B165&gt;$G$13/2000,100*$B165/$G$13,"&lt; 0,1"))</f>
        <v> </v>
      </c>
      <c r="I115" s="501" t="str">
        <f t="shared" si="1"/>
        <v> </v>
      </c>
      <c r="J115" s="287"/>
      <c r="K115"/>
    </row>
    <row r="116" spans="1:11" ht="12.75">
      <c r="A116" s="34"/>
      <c r="B116" s="500">
        <f>IF(OR(C116&lt;'Excerpt WDH'!$B$31,C116&gt;'Excerpt WDH'!$E$31)," ",'Excerpt WDH'!G48)</f>
        <v>60</v>
      </c>
      <c r="C116" s="113">
        <v>3</v>
      </c>
      <c r="D116" s="111">
        <f>IF(OR(C116&lt;'Excerpt WDH'!B$31,C116&gt;'Excerpt WDH'!E$31)," ",10*(C116-'Excerpt WDH'!B$31)/('Excerpt WDH'!E$31-'Excerpt WDH'!B$31))</f>
        <v>10</v>
      </c>
      <c r="E116" s="45"/>
      <c r="F116" s="748">
        <f>IF(OR(C116&lt;B$123-0.1,C116&gt;C$123+0.1),"",'Excerpt WDH'!F48)</f>
        <v>3</v>
      </c>
      <c r="G116" s="77">
        <f>IF(OR($C166&lt;'Excerpt WDH'!$B$31,$C166&gt;'Excerpt WDH'!$E$31,'Excerpt WDH'!$G$25&lt;'Excerpt WDH'!$E$31,'Excerpt WDH'!$G$25&gt;600)," ",IF($B166&gt;$G$13/200,100*$B166/$G$13,"&lt; 1"))</f>
        <v>60</v>
      </c>
      <c r="H116" s="128" t="str">
        <f>IF(OR($C166&lt;'Excerpt WDH'!$B$31,$C166&gt;'Excerpt WDH'!$E$31,'Excerpt WDH'!$G$25&lt;601)," ",IF($B166&gt;$G$13/2000,100*$B166/$G$13,"&lt; 0,1"))</f>
        <v> </v>
      </c>
      <c r="I116" s="501" t="str">
        <f t="shared" si="1"/>
        <v> </v>
      </c>
      <c r="J116" s="287"/>
      <c r="K116"/>
    </row>
    <row r="117" spans="1:11" ht="12.75">
      <c r="A117" s="34"/>
      <c r="B117" s="500">
        <f>IF(OR(C117&lt;'Excerpt WDH'!$B$31,C117&gt;'Excerpt WDH'!$E$31)," ",'Excerpt WDH'!G49)</f>
        <v>20</v>
      </c>
      <c r="C117" s="113">
        <v>2</v>
      </c>
      <c r="D117" s="111">
        <f>IF(OR(C117&lt;'Excerpt WDH'!B$31,C117&gt;'Excerpt WDH'!E$31)," ",10*(C117-'Excerpt WDH'!B$31)/('Excerpt WDH'!E$31-'Excerpt WDH'!B$31))</f>
        <v>5</v>
      </c>
      <c r="E117" s="45"/>
      <c r="F117" s="748">
        <f>IF(OR(C117&lt;B$123-0.1,C117&gt;C$123+0.1),"",'Excerpt WDH'!F49)</f>
        <v>2</v>
      </c>
      <c r="G117" s="77">
        <f>IF(OR($C167&lt;'Excerpt WDH'!$B$31,$C167&gt;'Excerpt WDH'!$E$31,'Excerpt WDH'!$G$25&lt;'Excerpt WDH'!$E$31,'Excerpt WDH'!$G$25&gt;600)," ",IF($B167&gt;$G$13/200,100*$B167/$G$13,"&lt; 1"))</f>
        <v>20</v>
      </c>
      <c r="H117" s="128" t="str">
        <f>IF(OR($C167&lt;'Excerpt WDH'!$B$31,$C167&gt;'Excerpt WDH'!$E$31,'Excerpt WDH'!$G$25&lt;601)," ",IF($B167&gt;$G$13/2000,100*$B167/$G$13,"&lt; 0,1"))</f>
        <v> </v>
      </c>
      <c r="I117" s="501" t="str">
        <f t="shared" si="1"/>
        <v> </v>
      </c>
      <c r="J117" s="287"/>
      <c r="K117"/>
    </row>
    <row r="118" spans="1:11" ht="12.75">
      <c r="A118" s="34"/>
      <c r="B118" s="500">
        <f>IF(OR(C118&lt;'Excerpt WDH'!$B$31,C118&gt;'Excerpt WDH'!$E$31)," ",'Excerpt WDH'!G50)</f>
        <v>20</v>
      </c>
      <c r="C118" s="113">
        <v>1</v>
      </c>
      <c r="D118" s="111">
        <f>IF(OR(C118&lt;'Excerpt WDH'!B$31,C118&gt;'Excerpt WDH'!E$31)," ",10*(C118-'Excerpt WDH'!B$31)/('Excerpt WDH'!E$31-'Excerpt WDH'!B$31))</f>
        <v>0</v>
      </c>
      <c r="E118" s="45"/>
      <c r="F118" s="748">
        <f>IF(OR(C118&lt;B$123-0.1,C118&gt;C$123+0.1),"",'Excerpt WDH'!F50)</f>
        <v>1</v>
      </c>
      <c r="G118" s="823">
        <f>IF(OR($C168&lt;'Excerpt WDH'!$B$31,$C168&gt;'Excerpt WDH'!$E$31,'Excerpt WDH'!$G$25&lt;'Excerpt WDH'!$E$31,'Excerpt WDH'!$G$25&gt;600)," ",IF($B168&gt;$G$13/200,100*$B168/$G$13,"&lt; 1"))</f>
        <v>20</v>
      </c>
      <c r="H118" s="128" t="str">
        <f>IF(OR($C168&lt;'Excerpt WDH'!$B$31,$C168&gt;'Excerpt WDH'!$E$31,'Excerpt WDH'!$G$25&lt;601)," ",IF($B168&gt;$G$13/2000,100*$B168/$G$13,"&lt; 0,1"))</f>
        <v> </v>
      </c>
      <c r="I118" s="501" t="str">
        <f t="shared" si="1"/>
        <v> </v>
      </c>
      <c r="J118" s="287"/>
      <c r="K118"/>
    </row>
    <row r="119" spans="1:11" ht="13.5" thickBot="1">
      <c r="A119" s="34"/>
      <c r="B119" s="500" t="str">
        <f>IF(OR(C119&lt;'Excerpt WDH'!$B$31,C119&gt;'Excerpt WDH'!$E$31)," ",'Excerpt WDH'!G51)</f>
        <v> </v>
      </c>
      <c r="C119" s="114">
        <v>0</v>
      </c>
      <c r="D119" s="112" t="str">
        <f>IF(OR(C119&lt;'Excerpt WDH'!B$31,C119&gt;'Excerpt WDH'!E$31)," ",10*(C119-'Excerpt WDH'!B$31)/('Excerpt WDH'!E$31-'Excerpt WDH'!B$31))</f>
        <v> </v>
      </c>
      <c r="E119" s="45"/>
      <c r="F119" s="749">
        <f>IF(OR(C119&lt;B$123-0.1,C119&gt;C$123+0.1),"",'Excerpt WDH'!F51)</f>
      </c>
      <c r="G119" s="822" t="str">
        <f>IF(OR($C169&lt;'Excerpt WDH'!$B$31,$C169&gt;'Excerpt WDH'!$E$31,'Excerpt WDH'!$G$25&lt;'Excerpt WDH'!$E$31,'Excerpt WDH'!$G$25&gt;600)," ",IF($B169&gt;$G$13/200,100*$B169/$G$13,"&lt; 1"))</f>
        <v> </v>
      </c>
      <c r="H119" s="128" t="str">
        <f>IF(OR($C169&lt;'Excerpt WDH'!$B$31,$C169&gt;'Excerpt WDH'!$E$31,'Excerpt WDH'!$G$25&lt;601)," ",IF($B169&gt;$G$13/2000,100*$B169/$G$13,"&lt; 0,1"))</f>
        <v> </v>
      </c>
      <c r="I119" s="501" t="str">
        <f t="shared" si="1"/>
        <v> </v>
      </c>
      <c r="J119" s="287"/>
      <c r="K119"/>
    </row>
    <row r="120" spans="1:11" ht="13.5" thickBot="1">
      <c r="A120" s="34"/>
      <c r="B120" s="294">
        <f>'Excerpt WDH'!G53</f>
        <v>0</v>
      </c>
      <c r="C120" s="206" t="s">
        <v>53</v>
      </c>
      <c r="D120" s="166"/>
      <c r="E120" s="507" t="s">
        <v>76</v>
      </c>
      <c r="F120" s="167" t="s">
        <v>58</v>
      </c>
      <c r="G120" s="171">
        <f>IF(OR((SUM($B107:$B119))=(SUM($B107:$B120)),'Excerpt WDH'!G25&gt;600),"",100*$B120/(SUM($B107:$B120)))</f>
      </c>
      <c r="H120" s="168">
        <f>IF(OR((SUM($B107:$B119))=(SUM($B107:$B120)),'Excerpt WDH'!G25&lt;601),"",100*$B120/(SUM($B107:$B120)))</f>
      </c>
      <c r="I120" s="181"/>
      <c r="J120" s="287"/>
      <c r="K120"/>
    </row>
    <row r="121" spans="1:11" ht="13.5" thickBot="1">
      <c r="A121" s="34"/>
      <c r="B121" s="845" t="s">
        <v>54</v>
      </c>
      <c r="C121" s="846"/>
      <c r="D121" s="847"/>
      <c r="E121" s="508">
        <v>2</v>
      </c>
      <c r="F121" s="176"/>
      <c r="G121" s="177"/>
      <c r="H121" s="183" t="s">
        <v>59</v>
      </c>
      <c r="I121" s="182">
        <f>MAX(SUM(G107:G119),SUM(H107:H119))</f>
        <v>100</v>
      </c>
      <c r="J121" s="287"/>
      <c r="K121"/>
    </row>
    <row r="122" spans="1:26" ht="12.75">
      <c r="A122" s="34"/>
      <c r="B122" s="6"/>
      <c r="C122" s="6"/>
      <c r="D122" s="6"/>
      <c r="E122" s="6"/>
      <c r="F122" s="6"/>
      <c r="G122" s="6"/>
      <c r="H122" s="6"/>
      <c r="I122" s="5"/>
      <c r="J122" s="287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1:26" ht="12.75">
      <c r="A123" s="34"/>
      <c r="B123" s="460">
        <f>'Excerpt WDH'!B31</f>
        <v>1</v>
      </c>
      <c r="C123" s="460">
        <f>'Excerpt WDH'!$E$31</f>
        <v>3</v>
      </c>
      <c r="D123" s="460">
        <f>'Excerpt WDH'!C32</f>
        <v>0</v>
      </c>
      <c r="E123" s="6"/>
      <c r="F123" s="6"/>
      <c r="G123" s="6"/>
      <c r="H123" s="6"/>
      <c r="J123" s="287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1:11" ht="13.5" thickBot="1">
      <c r="A124" s="52"/>
      <c r="E124" s="67"/>
      <c r="F124" s="67"/>
      <c r="G124" s="67"/>
      <c r="H124" s="115"/>
      <c r="I124" s="204"/>
      <c r="J124" s="287"/>
      <c r="K124"/>
    </row>
    <row r="125" spans="1:68" ht="13.5" thickBot="1">
      <c r="A125" s="38"/>
      <c r="B125" s="20"/>
      <c r="C125" s="42"/>
      <c r="D125" s="42"/>
      <c r="E125" s="198" t="s">
        <v>72</v>
      </c>
      <c r="F125" s="199"/>
      <c r="G125" s="17"/>
      <c r="H125" s="17"/>
      <c r="I125" s="25"/>
      <c r="J125" s="276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</row>
    <row r="126" spans="1:68" ht="14.25" customHeight="1" thickBot="1">
      <c r="A126" s="34"/>
      <c r="B126" s="58"/>
      <c r="C126" s="84"/>
      <c r="D126" s="43"/>
      <c r="E126" s="102" t="s">
        <v>8</v>
      </c>
      <c r="F126" s="21"/>
      <c r="G126" s="503" t="s">
        <v>9</v>
      </c>
      <c r="H126" s="504"/>
      <c r="I126" s="5"/>
      <c r="J126" s="27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</row>
    <row r="127" spans="1:68" ht="12.75">
      <c r="A127" s="34"/>
      <c r="B127" s="82" t="s">
        <v>19</v>
      </c>
      <c r="C127" s="10" t="s">
        <v>26</v>
      </c>
      <c r="D127" s="7"/>
      <c r="E127" s="15" t="s">
        <v>40</v>
      </c>
      <c r="F127" s="16" t="s">
        <v>32</v>
      </c>
      <c r="G127" s="15" t="s">
        <v>33</v>
      </c>
      <c r="H127" s="27" t="s">
        <v>32</v>
      </c>
      <c r="I127" s="5"/>
      <c r="J127" s="276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</row>
    <row r="128" spans="1:68" ht="13.5" thickBot="1">
      <c r="A128" s="34"/>
      <c r="B128" s="83" t="s">
        <v>20</v>
      </c>
      <c r="C128" s="9" t="s">
        <v>0</v>
      </c>
      <c r="D128" s="502" t="s">
        <v>21</v>
      </c>
      <c r="E128" s="408">
        <f>SUM(E129:E141)</f>
        <v>220</v>
      </c>
      <c r="F128" s="409">
        <f>IF(G$10=0,"   ",+SUM(F129:F141))</f>
        <v>76</v>
      </c>
      <c r="G128" s="408">
        <f>SUM(G129:G141)</f>
        <v>600</v>
      </c>
      <c r="H128" s="410">
        <f>IF(G$10=0,"   ",+SUM(H129:H141))</f>
        <v>1900</v>
      </c>
      <c r="I128" s="5"/>
      <c r="J128" s="276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</row>
    <row r="129" spans="1:68" ht="12.75">
      <c r="A129" s="44" t="str">
        <f>IF(OR($C129&lt;'Excerpt WDH'!$B$31,$C129&gt;'Excerpt WDH'!$E$31)," ",B129)</f>
        <v> </v>
      </c>
      <c r="B129" s="295" t="str">
        <f aca="true" t="shared" si="2" ref="B129:C141">B84</f>
        <v> </v>
      </c>
      <c r="C129" s="105">
        <f t="shared" si="2"/>
        <v>12</v>
      </c>
      <c r="D129" s="106" t="str">
        <f>IF(OR($C129&lt;'Excerpt WDH'!$B$31,$C129&gt;'Excerpt WDH'!$E$31)," ",10*(C129-'Excerpt WDH'!B$31)/('Excerpt WDH'!E$31-'Excerpt WDH'!B$31))</f>
        <v> </v>
      </c>
      <c r="E129" s="414" t="str">
        <f>IF(OR($C129&lt;'Excerpt WDH'!$B$31,$C129&gt;'Excerpt WDH'!$E$31)," ",B129*C129)</f>
        <v> </v>
      </c>
      <c r="F129" s="414" t="str">
        <f>IF(OR($C129&lt;'Excerpt WDH'!$B$31,$C129&gt;'Excerpt WDH'!$E$31)," ",$B129*(C129-G$143)*(C129-G$143))</f>
        <v> </v>
      </c>
      <c r="G129" s="414" t="str">
        <f>IF(OR($C129&lt;'Excerpt WDH'!$B$31,$C129&gt;'Excerpt WDH'!$E$31)," ",B129*D129)</f>
        <v> </v>
      </c>
      <c r="H129" s="415" t="str">
        <f>IF(OR($C129&lt;'Excerpt WDH'!$B$31,$C129&gt;'Excerpt WDH'!$E$31)," ",$B129*(D129-I$143)*(D129-I$143))</f>
        <v> </v>
      </c>
      <c r="I129" s="5"/>
      <c r="J129" s="276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</row>
    <row r="130" spans="1:68" ht="12.75">
      <c r="A130" s="44" t="str">
        <f>IF(OR($C130&lt;'Excerpt WDH'!$B$31,$C130&gt;'Excerpt WDH'!$E$31)," ",B130)</f>
        <v> </v>
      </c>
      <c r="B130" s="117" t="str">
        <f t="shared" si="2"/>
        <v> </v>
      </c>
      <c r="C130" s="12">
        <f t="shared" si="2"/>
        <v>11</v>
      </c>
      <c r="D130" s="45" t="str">
        <f>IF(OR(C130&lt;'Excerpt WDH'!B$31,C130&gt;'Excerpt WDH'!E$31)," ",10*(C130-'Excerpt WDH'!B$31)/('Excerpt WDH'!E$31-'Excerpt WDH'!B$31))</f>
        <v> </v>
      </c>
      <c r="E130" s="414" t="str">
        <f>IF(OR($C130&lt;'Excerpt WDH'!$B$31,$C130&gt;'Excerpt WDH'!$E$31)," ",B130*C130)</f>
        <v> </v>
      </c>
      <c r="F130" s="414" t="str">
        <f>IF(OR($C130&lt;'Excerpt WDH'!$B$31,$C130&gt;'Excerpt WDH'!$E$31)," ",$B130*(C130-G$143)*(C130-G$143))</f>
        <v> </v>
      </c>
      <c r="G130" s="414" t="str">
        <f>IF(OR($C130&lt;'Excerpt WDH'!$B$31,$C130&gt;'Excerpt WDH'!$E$31)," ",B130*D130)</f>
        <v> </v>
      </c>
      <c r="H130" s="415" t="str">
        <f>IF(OR($C130&lt;'Excerpt WDH'!$B$31,$C130&gt;'Excerpt WDH'!$E$31)," ",$B130*(D130-I$143)*(D130-I$143))</f>
        <v> </v>
      </c>
      <c r="I130" s="5"/>
      <c r="J130" s="276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</row>
    <row r="131" spans="1:68" ht="12.75">
      <c r="A131" s="44" t="str">
        <f>IF(OR($C131&lt;'Excerpt WDH'!$B$31,$C131&gt;'Excerpt WDH'!$E$31)," ",B131)</f>
        <v> </v>
      </c>
      <c r="B131" s="117" t="str">
        <f t="shared" si="2"/>
        <v> </v>
      </c>
      <c r="C131" s="12">
        <f t="shared" si="2"/>
        <v>10</v>
      </c>
      <c r="D131" s="45" t="str">
        <f>IF(OR(C131&lt;'Excerpt WDH'!B$31,C131&gt;'Excerpt WDH'!E$31)," ",10*(C131-'Excerpt WDH'!B$31)/('Excerpt WDH'!E$31-'Excerpt WDH'!B$31))</f>
        <v> </v>
      </c>
      <c r="E131" s="414" t="str">
        <f>IF(OR($C131&lt;'Excerpt WDH'!$B$31,$C131&gt;'Excerpt WDH'!$E$31)," ",B131*C131)</f>
        <v> </v>
      </c>
      <c r="F131" s="414" t="str">
        <f>IF(OR($C131&lt;'Excerpt WDH'!$B$31,$C131&gt;'Excerpt WDH'!$E$31)," ",$B131*(C131-G$143)*(C131-G$143))</f>
        <v> </v>
      </c>
      <c r="G131" s="414" t="str">
        <f>IF(OR($C131&lt;'Excerpt WDH'!$B$31,$C131&gt;'Excerpt WDH'!$E$31)," ",B131*D131)</f>
        <v> </v>
      </c>
      <c r="H131" s="415" t="str">
        <f>IF(OR($C131&lt;'Excerpt WDH'!$B$31,$C131&gt;'Excerpt WDH'!$E$31)," ",$B131*(D131-I$143)*(D131-I$143))</f>
        <v> </v>
      </c>
      <c r="I131" s="5"/>
      <c r="J131" s="276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</row>
    <row r="132" spans="1:68" ht="12.75">
      <c r="A132" s="44" t="str">
        <f>IF(OR($C132&lt;'Excerpt WDH'!$B$31,$C132&gt;'Excerpt WDH'!$E$31)," ",B132)</f>
        <v> </v>
      </c>
      <c r="B132" s="117" t="str">
        <f t="shared" si="2"/>
        <v> </v>
      </c>
      <c r="C132" s="12">
        <f t="shared" si="2"/>
        <v>9</v>
      </c>
      <c r="D132" s="45" t="str">
        <f>IF(OR(C132&lt;'Excerpt WDH'!B$31,C132&gt;'Excerpt WDH'!E$31)," ",10*(C132-'Excerpt WDH'!B$31)/('Excerpt WDH'!E$31-'Excerpt WDH'!B$31))</f>
        <v> </v>
      </c>
      <c r="E132" s="414" t="str">
        <f>IF(OR($C132&lt;'Excerpt WDH'!$B$31,$C132&gt;'Excerpt WDH'!$E$31)," ",B132*C132)</f>
        <v> </v>
      </c>
      <c r="F132" s="414" t="str">
        <f>IF(OR($C132&lt;'Excerpt WDH'!$B$31,$C132&gt;'Excerpt WDH'!$E$31)," ",$B132*(C132-G$143)*(C132-G$143))</f>
        <v> </v>
      </c>
      <c r="G132" s="414" t="str">
        <f>IF(OR($C132&lt;'Excerpt WDH'!$B$31,$C132&gt;'Excerpt WDH'!$E$31)," ",B132*D132)</f>
        <v> </v>
      </c>
      <c r="H132" s="415" t="str">
        <f>IF(OR($C132&lt;'Excerpt WDH'!$B$31,$C132&gt;'Excerpt WDH'!$E$31)," ",$B132*(D132-I$143)*(D132-I$143))</f>
        <v> </v>
      </c>
      <c r="I132" s="5"/>
      <c r="J132" s="276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</row>
    <row r="133" spans="1:68" ht="12.75">
      <c r="A133" s="44" t="str">
        <f>IF(OR($C133&lt;'Excerpt WDH'!$B$31,$C133&gt;'Excerpt WDH'!$E$31)," ",B133)</f>
        <v> </v>
      </c>
      <c r="B133" s="117" t="str">
        <f t="shared" si="2"/>
        <v> </v>
      </c>
      <c r="C133" s="12">
        <f t="shared" si="2"/>
        <v>8</v>
      </c>
      <c r="D133" s="45" t="str">
        <f>IF(OR(C133&lt;'Excerpt WDH'!B$31,C133&gt;'Excerpt WDH'!E$31)," ",10*(C133-'Excerpt WDH'!B$31)/('Excerpt WDH'!E$31-'Excerpt WDH'!B$31))</f>
        <v> </v>
      </c>
      <c r="E133" s="414" t="str">
        <f>IF(OR($C133&lt;'Excerpt WDH'!$B$31,$C133&gt;'Excerpt WDH'!$E$31)," ",B133*C133)</f>
        <v> </v>
      </c>
      <c r="F133" s="414" t="str">
        <f>IF(OR($C133&lt;'Excerpt WDH'!$B$31,$C133&gt;'Excerpt WDH'!$E$31)," ",$B133*(C133-G$143)*(C133-G$143))</f>
        <v> </v>
      </c>
      <c r="G133" s="414" t="str">
        <f>IF(OR($C133&lt;'Excerpt WDH'!$B$31,$C133&gt;'Excerpt WDH'!$E$31)," ",B133*D133)</f>
        <v> </v>
      </c>
      <c r="H133" s="415" t="str">
        <f>IF(OR($C133&lt;'Excerpt WDH'!$B$31,$C133&gt;'Excerpt WDH'!$E$31)," ",$B133*(D133-I$143)*(D133-I$143))</f>
        <v> </v>
      </c>
      <c r="I133" s="5"/>
      <c r="J133" s="276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</row>
    <row r="134" spans="1:68" ht="12.75">
      <c r="A134" s="44" t="str">
        <f>IF(OR($C134&lt;'Excerpt WDH'!$B$31,$C134&gt;'Excerpt WDH'!$E$31)," ",B134)</f>
        <v> </v>
      </c>
      <c r="B134" s="117" t="str">
        <f t="shared" si="2"/>
        <v> </v>
      </c>
      <c r="C134" s="12">
        <f t="shared" si="2"/>
        <v>7</v>
      </c>
      <c r="D134" s="45" t="str">
        <f>IF(OR(C134&lt;'Excerpt WDH'!B$31,C134&gt;'Excerpt WDH'!E$31)," ",10*(C134-'Excerpt WDH'!B$31)/('Excerpt WDH'!E$31-'Excerpt WDH'!B$31))</f>
        <v> </v>
      </c>
      <c r="E134" s="414" t="str">
        <f>IF(OR($C134&lt;'Excerpt WDH'!$B$31,$C134&gt;'Excerpt WDH'!$E$31)," ",B134*C134)</f>
        <v> </v>
      </c>
      <c r="F134" s="414" t="str">
        <f>IF(OR($C134&lt;'Excerpt WDH'!$B$31,$C134&gt;'Excerpt WDH'!$E$31)," ",$B134*(C134-G$143)*(C134-G$143))</f>
        <v> </v>
      </c>
      <c r="G134" s="414" t="str">
        <f>IF(OR($C134&lt;'Excerpt WDH'!$B$31,$C134&gt;'Excerpt WDH'!$E$31)," ",B134*D134)</f>
        <v> </v>
      </c>
      <c r="H134" s="415" t="str">
        <f>IF(OR($C134&lt;'Excerpt WDH'!$B$31,$C134&gt;'Excerpt WDH'!$E$31)," ",$B134*(D134-I$143)*(D134-I$143))</f>
        <v> </v>
      </c>
      <c r="I134" s="5"/>
      <c r="J134" s="276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</row>
    <row r="135" spans="1:68" ht="12.75">
      <c r="A135" s="44" t="str">
        <f>IF(OR($C135&lt;'Excerpt WDH'!$B$31,$C135&gt;'Excerpt WDH'!$E$31)," ",B135)</f>
        <v> </v>
      </c>
      <c r="B135" s="117" t="str">
        <f t="shared" si="2"/>
        <v> </v>
      </c>
      <c r="C135" s="12">
        <f t="shared" si="2"/>
        <v>6</v>
      </c>
      <c r="D135" s="45" t="str">
        <f>IF(OR(C135&lt;'Excerpt WDH'!B$31,C135&gt;'Excerpt WDH'!E$31)," ",10*(C135-'Excerpt WDH'!B$31)/('Excerpt WDH'!E$31-'Excerpt WDH'!B$31))</f>
        <v> </v>
      </c>
      <c r="E135" s="414" t="str">
        <f>IF(OR($C135&lt;'Excerpt WDH'!$B$31,$C135&gt;'Excerpt WDH'!$E$31)," ",B135*C135)</f>
        <v> </v>
      </c>
      <c r="F135" s="414" t="str">
        <f>IF(OR($C135&lt;'Excerpt WDH'!$B$31,$C135&gt;'Excerpt WDH'!$E$31)," ",$B135*(C135-G$143)*(C135-G$143))</f>
        <v> </v>
      </c>
      <c r="G135" s="414" t="str">
        <f>IF(OR($C135&lt;'Excerpt WDH'!$B$31,$C135&gt;'Excerpt WDH'!$E$31)," ",B135*D135)</f>
        <v> </v>
      </c>
      <c r="H135" s="415" t="str">
        <f>IF(OR($C135&lt;'Excerpt WDH'!$B$31,$C135&gt;'Excerpt WDH'!$E$31)," ",$B135*(D135-I$143)*(D135-I$143))</f>
        <v> </v>
      </c>
      <c r="I135" s="5"/>
      <c r="J135" s="276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</row>
    <row r="136" spans="1:68" ht="12.75">
      <c r="A136" s="44" t="str">
        <f>IF(OR($C136&lt;'Excerpt WDH'!$B$31,$C136&gt;'Excerpt WDH'!$E$31)," ",B136)</f>
        <v> </v>
      </c>
      <c r="B136" s="117" t="str">
        <f t="shared" si="2"/>
        <v> </v>
      </c>
      <c r="C136" s="12">
        <f t="shared" si="2"/>
        <v>5</v>
      </c>
      <c r="D136" s="45" t="str">
        <f>IF(OR(C136&lt;'Excerpt WDH'!B$31,C136&gt;'Excerpt WDH'!E$31)," ",10*(C136-'Excerpt WDH'!B$31)/('Excerpt WDH'!E$31-'Excerpt WDH'!B$31))</f>
        <v> </v>
      </c>
      <c r="E136" s="414" t="str">
        <f>IF(OR($C136&lt;'Excerpt WDH'!$B$31,$C136&gt;'Excerpt WDH'!$E$31)," ",B136*C136)</f>
        <v> </v>
      </c>
      <c r="F136" s="414" t="str">
        <f>IF(OR($C136&lt;'Excerpt WDH'!$B$31,$C136&gt;'Excerpt WDH'!$E$31)," ",$B136*(C136-G$143)*(C136-G$143))</f>
        <v> </v>
      </c>
      <c r="G136" s="414" t="str">
        <f>IF(OR($C136&lt;'Excerpt WDH'!$B$31,$C136&gt;'Excerpt WDH'!$E$31)," ",B136*D136)</f>
        <v> </v>
      </c>
      <c r="H136" s="415" t="str">
        <f>IF(OR($C136&lt;'Excerpt WDH'!$B$31,$C136&gt;'Excerpt WDH'!$E$31)," ",$B136*(D136-I$143)*(D136-I$143))</f>
        <v> </v>
      </c>
      <c r="I136" s="5"/>
      <c r="J136" s="27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</row>
    <row r="137" spans="1:68" ht="12.75">
      <c r="A137" s="44" t="str">
        <f>IF(OR($C137&lt;'Excerpt WDH'!$B$31,$C137&gt;'Excerpt WDH'!$E$31)," ",B137)</f>
        <v> </v>
      </c>
      <c r="B137" s="117" t="str">
        <f t="shared" si="2"/>
        <v> </v>
      </c>
      <c r="C137" s="12">
        <f t="shared" si="2"/>
        <v>4</v>
      </c>
      <c r="D137" s="45" t="str">
        <f>IF(OR(C137&lt;'Excerpt WDH'!B$31,C137&gt;'Excerpt WDH'!E$31)," ",10*(C137-'Excerpt WDH'!B$31)/('Excerpt WDH'!E$31-'Excerpt WDH'!B$31))</f>
        <v> </v>
      </c>
      <c r="E137" s="414" t="str">
        <f>IF(OR($C137&lt;'Excerpt WDH'!$B$31,$C137&gt;'Excerpt WDH'!$E$31,$G$10&lt;0.5)," ",B137*C137)</f>
        <v> </v>
      </c>
      <c r="F137" s="414" t="str">
        <f>IF(OR($C137&lt;'Excerpt WDH'!$B$31,$C137&gt;'Excerpt WDH'!$E$31,$G$10&lt;0.5)," ",$B137*(C137-G$143)*(C137-G$143))</f>
        <v> </v>
      </c>
      <c r="G137" s="414" t="str">
        <f>IF(OR($C137&lt;'Excerpt WDH'!$B$31,$C137&gt;'Excerpt WDH'!$E$31,$G$10&lt;0.5)," ",B137*D137)</f>
        <v> </v>
      </c>
      <c r="H137" s="415" t="str">
        <f>IF(OR($C137&lt;'Excerpt WDH'!$B$31,$C137&gt;'Excerpt WDH'!$E$31,$G$10&lt;0.5)," ",$B137*(D137-I$143)*(D137-I$143))</f>
        <v> </v>
      </c>
      <c r="I137" s="5"/>
      <c r="J137" s="276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</row>
    <row r="138" spans="1:68" ht="12.75">
      <c r="A138" s="44">
        <f>IF(OR($C138&lt;'Excerpt WDH'!$B$31,$C138&gt;'Excerpt WDH'!$E$31)," ",B138)</f>
        <v>50</v>
      </c>
      <c r="B138" s="117">
        <f t="shared" si="2"/>
        <v>50</v>
      </c>
      <c r="C138" s="12">
        <f t="shared" si="2"/>
        <v>3</v>
      </c>
      <c r="D138" s="45">
        <f>IF(OR(C138&lt;'Excerpt WDH'!B$31,C138&gt;'Excerpt WDH'!E$31)," ",10*(C138-'Excerpt WDH'!B$31)/('Excerpt WDH'!E$31-'Excerpt WDH'!B$31))</f>
        <v>10</v>
      </c>
      <c r="E138" s="414">
        <f>IF(OR($C138&lt;'Excerpt WDH'!$B$31,$C138&gt;'Excerpt WDH'!$E$31,$G$10&lt;0.5)," ",B138*C138)</f>
        <v>150</v>
      </c>
      <c r="F138" s="414">
        <f>IF(OR($C138&lt;'Excerpt WDH'!$B$31,$C138&gt;'Excerpt WDH'!$E$31,$G$10&lt;0.5)," ",$B138*(C138-G$143)*(C138-G$143))</f>
        <v>31.999999999999986</v>
      </c>
      <c r="G138" s="414">
        <f>IF(OR($C138&lt;'Excerpt WDH'!$B$31,$C138&gt;'Excerpt WDH'!$E$31,$G$10&lt;0.5)," ",B138*D138)</f>
        <v>500</v>
      </c>
      <c r="H138" s="415">
        <f>IF(OR($C138&lt;'Excerpt WDH'!$B$31,$C138&gt;'Excerpt WDH'!$E$31,$G$10&lt;0.5)," ",$B138*(D138-I$143)*(D138-I$143))</f>
        <v>800</v>
      </c>
      <c r="I138" s="5"/>
      <c r="J138" s="276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</row>
    <row r="139" spans="1:68" ht="12.75">
      <c r="A139" s="44">
        <f>IF(OR($C139&lt;'Excerpt WDH'!$B$31,$C139&gt;'Excerpt WDH'!$E$31)," ",B139)</f>
        <v>20</v>
      </c>
      <c r="B139" s="117">
        <f t="shared" si="2"/>
        <v>20</v>
      </c>
      <c r="C139" s="12">
        <f t="shared" si="2"/>
        <v>2</v>
      </c>
      <c r="D139" s="45">
        <f>IF(OR(C139&lt;'Excerpt WDH'!B$31,C139&gt;'Excerpt WDH'!E$31)," ",10*(C139-'Excerpt WDH'!B$31)/('Excerpt WDH'!E$31-'Excerpt WDH'!B$31))</f>
        <v>5</v>
      </c>
      <c r="E139" s="414">
        <f>IF(OR($C139&lt;'Excerpt WDH'!$B$31,$C139&gt;'Excerpt WDH'!$E$31,$G$10&lt;0.5)," ",B139*C139)</f>
        <v>40</v>
      </c>
      <c r="F139" s="414">
        <f>IF(OR($C139&lt;'Excerpt WDH'!$B$31,$C139&gt;'Excerpt WDH'!$E$31,$G$10&lt;0.5)," ",$B139*(C139-G$143)*(C139-G$143))</f>
        <v>0.8000000000000014</v>
      </c>
      <c r="G139" s="414">
        <f>IF(OR($C139&lt;'Excerpt WDH'!$B$31,$C139&gt;'Excerpt WDH'!$E$31,$G$10&lt;0.5)," ",B139*D139)</f>
        <v>100</v>
      </c>
      <c r="H139" s="415">
        <f>IF(OR($C139&lt;'Excerpt WDH'!$B$31,$C139&gt;'Excerpt WDH'!$E$31,$G$10&lt;0.5)," ",$B139*(D139-I$143)*(D139-I$143))</f>
        <v>20</v>
      </c>
      <c r="I139" s="5"/>
      <c r="J139" s="276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</row>
    <row r="140" spans="1:68" ht="12.75">
      <c r="A140" s="44">
        <f>IF(OR($C140&lt;'Excerpt WDH'!$B$31,$C140&gt;'Excerpt WDH'!$E$31)," ",B140)</f>
        <v>30</v>
      </c>
      <c r="B140" s="117">
        <f t="shared" si="2"/>
        <v>30</v>
      </c>
      <c r="C140" s="12">
        <f t="shared" si="2"/>
        <v>1</v>
      </c>
      <c r="D140" s="45">
        <f>IF(OR(C140&lt;'Excerpt WDH'!B$31,C140&gt;'Excerpt WDH'!E$31)," ",10*(C140-'Excerpt WDH'!B$31)/('Excerpt WDH'!E$31-'Excerpt WDH'!B$31))</f>
        <v>0</v>
      </c>
      <c r="E140" s="414">
        <f>IF(OR($C140&lt;'Excerpt WDH'!$B$31,$C140&gt;'Excerpt WDH'!$E$31,$G$10&lt;0.5)," ",B140*C140)</f>
        <v>30</v>
      </c>
      <c r="F140" s="414">
        <f>IF(OR($C140&lt;'Excerpt WDH'!$B$31,$C140&gt;'Excerpt WDH'!$E$31,$G$10&lt;0.5)," ",$B140*(C140-G$143)*(C140-G$143))</f>
        <v>43.20000000000002</v>
      </c>
      <c r="G140" s="414">
        <f>IF(OR($C140&lt;'Excerpt WDH'!$B$31,$C140&gt;'Excerpt WDH'!$E$31,$G$10&lt;0.5)," ",B140*D140)</f>
        <v>0</v>
      </c>
      <c r="H140" s="415">
        <f>IF(OR($C140&lt;'Excerpt WDH'!$B$31,$C140&gt;'Excerpt WDH'!$E$31,$G$10&lt;0.5)," ",$B140*(D140-I$143)*(D140-I$143))</f>
        <v>1080</v>
      </c>
      <c r="I140" s="5"/>
      <c r="J140" s="276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</row>
    <row r="141" spans="1:14" ht="13.5" thickBot="1">
      <c r="A141" s="44" t="str">
        <f>IF(OR($C141&lt;'Excerpt WDH'!$B$31,$C141&gt;'Excerpt WDH'!$E$31)," ",B141)</f>
        <v> </v>
      </c>
      <c r="B141" s="117" t="str">
        <f t="shared" si="2"/>
        <v> </v>
      </c>
      <c r="C141" s="12">
        <f t="shared" si="2"/>
        <v>0</v>
      </c>
      <c r="D141" s="45" t="str">
        <f>IF(OR(C141&lt;'Excerpt WDH'!B$31,C141&gt;'Excerpt WDH'!E$31)," ",10*(C141-'Excerpt WDH'!B$31)/('Excerpt WDH'!E$31-'Excerpt WDH'!B$31))</f>
        <v> </v>
      </c>
      <c r="E141" s="45" t="str">
        <f>IF(OR($C141&lt;'Excerpt WDH'!$B$31,$C141&gt;'Excerpt WDH'!$E$31,$G$10&lt;0.5)," ",B141*C141)</f>
        <v> </v>
      </c>
      <c r="F141" s="45" t="str">
        <f>IF(OR($C141&lt;'Excerpt WDH'!$B$31,$C141&gt;'Excerpt WDH'!$E$31,$G$10&lt;0.5)," ",$B141*(C141-G$143)*(C141-G$143))</f>
        <v> </v>
      </c>
      <c r="G141" s="45" t="str">
        <f>IF(OR($C141&lt;'Excerpt WDH'!$B$31,$C141&gt;'Excerpt WDH'!$E$31,$G$10&lt;0.5)," ",B141*D141)</f>
        <v> </v>
      </c>
      <c r="H141" s="46" t="str">
        <f>IF(OR($C141&lt;'Excerpt WDH'!$B$31,$C141&gt;'Excerpt WDH'!$E$31,$G$10&lt;0.5)," ",$B141*(D141-I$143)*(D141-I$143))</f>
        <v> </v>
      </c>
      <c r="I141" s="5"/>
      <c r="J141" s="276"/>
      <c r="K141"/>
      <c r="L141"/>
      <c r="M141"/>
      <c r="N141"/>
    </row>
    <row r="142" spans="1:14" ht="12.75">
      <c r="A142" s="131" t="s">
        <v>45</v>
      </c>
      <c r="B142" s="105"/>
      <c r="C142" s="510" t="str">
        <f>IF('Excerpt WDH'!$C$32=1,"AFTER SCALE REVERSION !"," ")</f>
        <v> </v>
      </c>
      <c r="D142" s="105"/>
      <c r="E142" s="105"/>
      <c r="F142" s="105"/>
      <c r="G142" s="140" t="s">
        <v>3</v>
      </c>
      <c r="H142" s="105"/>
      <c r="I142" s="141" t="s">
        <v>5</v>
      </c>
      <c r="J142" s="67"/>
      <c r="K142"/>
      <c r="L142"/>
      <c r="M142"/>
      <c r="N142"/>
    </row>
    <row r="143" spans="1:14" ht="12.75">
      <c r="A143" s="132"/>
      <c r="B143" s="133"/>
      <c r="C143" s="133"/>
      <c r="D143" s="133"/>
      <c r="E143" s="133"/>
      <c r="F143" s="73" t="s">
        <v>6</v>
      </c>
      <c r="G143" s="134">
        <f>IF($G$10=0,"     ",+E128/$G$10)</f>
        <v>2.2</v>
      </c>
      <c r="H143" s="12"/>
      <c r="I143" s="135">
        <f>IF($G$10=0,"     ",+G128/$G$10)</f>
        <v>6</v>
      </c>
      <c r="J143" s="67"/>
      <c r="K143"/>
      <c r="L143"/>
      <c r="M143"/>
      <c r="N143"/>
    </row>
    <row r="144" spans="1:14" ht="12.75">
      <c r="A144" s="132"/>
      <c r="B144" s="133"/>
      <c r="C144" s="133"/>
      <c r="D144" s="133"/>
      <c r="E144" s="133"/>
      <c r="F144" s="73" t="s">
        <v>30</v>
      </c>
      <c r="G144" s="136">
        <f>G$143-(TINV(0.05,$H$146))*G147/(SQRT($G$10))</f>
        <v>2.026148539617803</v>
      </c>
      <c r="H144" s="12"/>
      <c r="I144" s="137">
        <f>I$143-(TINV(0.05,$H$146))*I147/(SQRT($G$10))</f>
        <v>5.130742698089015</v>
      </c>
      <c r="J144" s="67"/>
      <c r="K144"/>
      <c r="L144"/>
      <c r="M144"/>
      <c r="N144"/>
    </row>
    <row r="145" spans="1:14" ht="12.75">
      <c r="A145" s="132"/>
      <c r="B145" s="133"/>
      <c r="C145" s="133"/>
      <c r="D145" s="133"/>
      <c r="E145" s="133"/>
      <c r="F145" s="73" t="s">
        <v>31</v>
      </c>
      <c r="G145" s="136">
        <f>G$143+(TINV(0.05,$H$146))*G147/(SQRT($G$10))</f>
        <v>2.3738514603821974</v>
      </c>
      <c r="H145" s="12"/>
      <c r="I145" s="137">
        <f>I$143+(TINV(0.05,$H$146))*I147/(SQRT($G$10))</f>
        <v>6.869257301910985</v>
      </c>
      <c r="J145" s="67"/>
      <c r="K145"/>
      <c r="L145"/>
      <c r="M145"/>
      <c r="N145"/>
    </row>
    <row r="146" spans="1:14" ht="12.75">
      <c r="A146" s="132"/>
      <c r="B146" s="133"/>
      <c r="C146" s="133"/>
      <c r="D146" s="133"/>
      <c r="E146" s="133"/>
      <c r="F146" s="73" t="s">
        <v>27</v>
      </c>
      <c r="G146" s="136">
        <f>IF(G10&lt;2,"   ",+F128/(G10-1))</f>
        <v>0.7676767676767676</v>
      </c>
      <c r="H146" s="431">
        <f>G10-1</f>
        <v>99</v>
      </c>
      <c r="I146" s="137">
        <f>IF(G10&lt;2,"   ",+H128/(G10-1))</f>
        <v>19.19191919191919</v>
      </c>
      <c r="J146" s="67"/>
      <c r="K146"/>
      <c r="L146"/>
      <c r="M146"/>
      <c r="N146"/>
    </row>
    <row r="147" spans="1:14" ht="12.75">
      <c r="A147" s="142"/>
      <c r="B147" s="143"/>
      <c r="C147" s="143"/>
      <c r="D147" s="143"/>
      <c r="E147" s="143"/>
      <c r="F147" s="144" t="s">
        <v>28</v>
      </c>
      <c r="G147" s="136">
        <f>IF($G$10=0,"      ",+SQRT(G146))</f>
        <v>0.8761716542303613</v>
      </c>
      <c r="H147" s="158" t="s">
        <v>41</v>
      </c>
      <c r="I147" s="137">
        <f>IF($G$10=0,"      ",+SQRT(I146))</f>
        <v>4.380858271151806</v>
      </c>
      <c r="J147" s="67"/>
      <c r="K147"/>
      <c r="L147"/>
      <c r="M147"/>
      <c r="N147"/>
    </row>
    <row r="148" spans="1:14" ht="12.75">
      <c r="A148" s="513" t="str">
        <f>IF('Excerpt WDH'!$C$32=1,"STATISTICS BEFORE SCALE REVERSION"," ")</f>
        <v> </v>
      </c>
      <c r="B148" s="133"/>
      <c r="C148" s="12"/>
      <c r="D148" s="12"/>
      <c r="E148" s="12"/>
      <c r="F148" s="138"/>
      <c r="G148" s="145" t="s">
        <v>3</v>
      </c>
      <c r="H148" s="115"/>
      <c r="I148" s="146" t="s">
        <v>5</v>
      </c>
      <c r="J148" s="67"/>
      <c r="K148"/>
      <c r="L148"/>
      <c r="M148"/>
      <c r="N148"/>
    </row>
    <row r="149" spans="1:14" ht="12.75">
      <c r="A149" s="132"/>
      <c r="B149" s="133"/>
      <c r="C149" s="133"/>
      <c r="D149" s="133"/>
      <c r="E149" s="133"/>
      <c r="F149" s="139" t="s">
        <v>6</v>
      </c>
      <c r="G149" s="134">
        <f>IF(D123=1,'Excerpt WDH'!$E$31+'Excerpt WDH'!$B$31-G143,"")</f>
      </c>
      <c r="H149" s="115"/>
      <c r="I149" s="135">
        <f>IF(D123=1,10-I143,"")</f>
      </c>
      <c r="J149" s="67"/>
      <c r="K149"/>
      <c r="L149"/>
      <c r="M149"/>
      <c r="N149"/>
    </row>
    <row r="150" spans="1:14" ht="12.75">
      <c r="A150" s="132"/>
      <c r="B150" s="133"/>
      <c r="C150" s="133"/>
      <c r="D150" s="133"/>
      <c r="E150" s="133"/>
      <c r="F150" s="73" t="s">
        <v>30</v>
      </c>
      <c r="G150" s="134">
        <f>IF(D123=1,'Excerpt WDH'!$E$31+'Excerpt WDH'!$B$31-G145,"")</f>
      </c>
      <c r="H150" s="115"/>
      <c r="I150" s="135">
        <f>IF(D123=1,10-I145,"")</f>
      </c>
      <c r="J150" s="67"/>
      <c r="K150"/>
      <c r="L150"/>
      <c r="M150"/>
      <c r="N150"/>
    </row>
    <row r="151" spans="1:14" ht="13.5" thickBot="1">
      <c r="A151" s="186"/>
      <c r="B151" s="187"/>
      <c r="C151" s="187"/>
      <c r="D151" s="187"/>
      <c r="E151" s="187"/>
      <c r="F151" s="210" t="s">
        <v>31</v>
      </c>
      <c r="G151" s="211">
        <f>IF(D123=1,'Excerpt WDH'!$E$31+'Excerpt WDH'!$B$31-G144,"")</f>
      </c>
      <c r="H151" s="116"/>
      <c r="I151" s="212">
        <f>IF(D123=1,10-I144,"")</f>
      </c>
      <c r="J151" s="67"/>
      <c r="K151"/>
      <c r="L151"/>
      <c r="M151"/>
      <c r="N151"/>
    </row>
    <row r="152" spans="1:14" s="11" customFormat="1" ht="13.5" thickBot="1">
      <c r="A152" s="213"/>
      <c r="B152" s="214"/>
      <c r="C152" s="214"/>
      <c r="D152" s="214"/>
      <c r="E152" s="214"/>
      <c r="F152" s="215"/>
      <c r="G152" s="108"/>
      <c r="H152" s="216"/>
      <c r="I152" s="217"/>
      <c r="J152" s="296"/>
      <c r="K152"/>
      <c r="L152" s="209"/>
      <c r="M152" s="209"/>
      <c r="N152" s="209"/>
    </row>
    <row r="153" spans="1:14" s="11" customFormat="1" ht="13.5" thickBot="1">
      <c r="A153" s="132"/>
      <c r="B153" s="133"/>
      <c r="C153" s="133"/>
      <c r="D153" s="133"/>
      <c r="E153" s="198" t="s">
        <v>71</v>
      </c>
      <c r="F153" s="199"/>
      <c r="G153" s="74"/>
      <c r="H153" s="115"/>
      <c r="I153" s="75"/>
      <c r="J153" s="296"/>
      <c r="K153"/>
      <c r="L153" s="209"/>
      <c r="M153" s="209"/>
      <c r="N153" s="209"/>
    </row>
    <row r="154" spans="1:14" s="11" customFormat="1" ht="13.5" thickBot="1">
      <c r="A154" s="34"/>
      <c r="B154" s="58"/>
      <c r="C154" s="84"/>
      <c r="D154" s="43"/>
      <c r="E154" s="102" t="s">
        <v>8</v>
      </c>
      <c r="F154" s="21"/>
      <c r="G154" s="503" t="s">
        <v>204</v>
      </c>
      <c r="H154" s="504"/>
      <c r="I154" s="5"/>
      <c r="J154" s="296"/>
      <c r="K154"/>
      <c r="L154" s="209"/>
      <c r="M154" s="209"/>
      <c r="N154" s="209"/>
    </row>
    <row r="155" spans="1:14" s="11" customFormat="1" ht="12.75">
      <c r="A155" s="34"/>
      <c r="B155" s="82" t="s">
        <v>19</v>
      </c>
      <c r="C155" s="10" t="s">
        <v>26</v>
      </c>
      <c r="D155" s="7"/>
      <c r="E155" s="15" t="s">
        <v>40</v>
      </c>
      <c r="F155" s="16" t="s">
        <v>32</v>
      </c>
      <c r="G155" s="15" t="s">
        <v>33</v>
      </c>
      <c r="H155" s="27" t="s">
        <v>205</v>
      </c>
      <c r="I155" s="5"/>
      <c r="J155" s="296"/>
      <c r="K155"/>
      <c r="L155" s="209"/>
      <c r="M155" s="209"/>
      <c r="N155" s="209"/>
    </row>
    <row r="156" spans="1:14" s="11" customFormat="1" ht="13.5" thickBot="1">
      <c r="A156" s="34"/>
      <c r="B156" s="83" t="s">
        <v>20</v>
      </c>
      <c r="C156" s="9" t="s">
        <v>0</v>
      </c>
      <c r="D156" s="472" t="s">
        <v>21</v>
      </c>
      <c r="E156" s="408">
        <f>SUM(E157:E169)</f>
        <v>240</v>
      </c>
      <c r="F156" s="409">
        <f>IF(G$13=0,"   ",+SUM(F157:F169))</f>
        <v>64</v>
      </c>
      <c r="G156" s="408">
        <f>SUM(G157:G169)</f>
        <v>700</v>
      </c>
      <c r="H156" s="410">
        <f>IF(G$13=0,"   ",+SUM(H157:H169))</f>
        <v>1600</v>
      </c>
      <c r="I156" s="5"/>
      <c r="J156" s="296"/>
      <c r="K156"/>
      <c r="L156" s="209"/>
      <c r="M156" s="209"/>
      <c r="N156" s="209"/>
    </row>
    <row r="157" spans="1:14" s="11" customFormat="1" ht="12.75">
      <c r="A157" s="44" t="str">
        <f>IF(OR($C157&lt;'Excerpt WDH'!$B$31,$C157&gt;'Excerpt WDH'!$E$31)," ",B157)</f>
        <v> </v>
      </c>
      <c r="B157" s="295" t="str">
        <f aca="true" t="shared" si="3" ref="B157:C169">B107</f>
        <v> </v>
      </c>
      <c r="C157" s="105">
        <f t="shared" si="3"/>
        <v>12</v>
      </c>
      <c r="D157" s="106" t="str">
        <f>IF(OR(C157&lt;'Excerpt WDH'!B$31,C157&gt;'Excerpt WDH'!E$31)," ",10*(C157-'Excerpt WDH'!B$31)/('Excerpt WDH'!E$31-'Excerpt WDH'!B$31))</f>
        <v> </v>
      </c>
      <c r="E157" s="414" t="str">
        <f>IF(OR($C157&lt;'Excerpt WDH'!$B$31,$C157&gt;'Excerpt WDH'!$E$31)," ",B157*C157)</f>
        <v> </v>
      </c>
      <c r="F157" s="414" t="str">
        <f>IF(OR($C157&lt;'Excerpt WDH'!$B$31,$C157&gt;'Excerpt WDH'!$E$31)," ",$B157*(C157-G$171)*(C157-G$171))</f>
        <v> </v>
      </c>
      <c r="G157" s="414" t="str">
        <f>IF(OR($C157&lt;'Excerpt WDH'!$B$31,$C157&gt;'Excerpt WDH'!$E$31)," ",B157*D157)</f>
        <v> </v>
      </c>
      <c r="H157" s="415" t="str">
        <f>IF(OR($C157&lt;'Excerpt WDH'!$B$31,$C157&gt;'Excerpt WDH'!$E$31)," ",$B157*(D157-I$171)*(D157-I$171))</f>
        <v> </v>
      </c>
      <c r="I157" s="5"/>
      <c r="J157" s="296"/>
      <c r="K157"/>
      <c r="L157" s="209"/>
      <c r="M157" s="209"/>
      <c r="N157" s="209"/>
    </row>
    <row r="158" spans="1:14" s="11" customFormat="1" ht="12.75">
      <c r="A158" s="44" t="str">
        <f>IF(OR($C158&lt;'Excerpt WDH'!$B$31,$C158&gt;'Excerpt WDH'!$E$31)," ",B158)</f>
        <v> </v>
      </c>
      <c r="B158" s="117" t="str">
        <f t="shared" si="3"/>
        <v> </v>
      </c>
      <c r="C158" s="12">
        <f t="shared" si="3"/>
        <v>11</v>
      </c>
      <c r="D158" s="45" t="str">
        <f>IF(OR(C158&lt;'Excerpt WDH'!B$31,C158&gt;'Excerpt WDH'!E$31)," ",10*(C158-'Excerpt WDH'!B$31)/('Excerpt WDH'!E$31-'Excerpt WDH'!B$31))</f>
        <v> </v>
      </c>
      <c r="E158" s="414" t="str">
        <f>IF(OR($C158&lt;'Excerpt WDH'!$B$31,$C158&gt;'Excerpt WDH'!$E$31)," ",B158*C158)</f>
        <v> </v>
      </c>
      <c r="F158" s="414" t="str">
        <f>IF(OR($C158&lt;'Excerpt WDH'!$B$31,$C158&gt;'Excerpt WDH'!$E$31)," ",$B158*(C158-G$171)*(C158-G$171))</f>
        <v> </v>
      </c>
      <c r="G158" s="414" t="str">
        <f>IF(OR($C158&lt;'Excerpt WDH'!$B$31,$C158&gt;'Excerpt WDH'!$E$31)," ",B158*D158)</f>
        <v> </v>
      </c>
      <c r="H158" s="415" t="str">
        <f>IF(OR($C158&lt;'Excerpt WDH'!$B$31,$C158&gt;'Excerpt WDH'!$E$31)," ",$B158*(D158-I$171)*(D158-I$171))</f>
        <v> </v>
      </c>
      <c r="I158" s="5"/>
      <c r="J158" s="296"/>
      <c r="K158"/>
      <c r="L158" s="209"/>
      <c r="M158" s="209"/>
      <c r="N158" s="209"/>
    </row>
    <row r="159" spans="1:14" s="11" customFormat="1" ht="12.75">
      <c r="A159" s="44" t="str">
        <f>IF(OR($C159&lt;'Excerpt WDH'!$B$31,$C159&gt;'Excerpt WDH'!$E$31)," ",B159)</f>
        <v> </v>
      </c>
      <c r="B159" s="117" t="str">
        <f t="shared" si="3"/>
        <v> </v>
      </c>
      <c r="C159" s="12">
        <f t="shared" si="3"/>
        <v>10</v>
      </c>
      <c r="D159" s="45" t="str">
        <f>IF(OR(C159&lt;'Excerpt WDH'!B$31,C159&gt;'Excerpt WDH'!E$31)," ",10*(C159-'Excerpt WDH'!B$31)/('Excerpt WDH'!E$31-'Excerpt WDH'!B$31))</f>
        <v> </v>
      </c>
      <c r="E159" s="414" t="str">
        <f>IF(OR($C159&lt;'Excerpt WDH'!$B$31,$C159&gt;'Excerpt WDH'!$E$31)," ",B159*C159)</f>
        <v> </v>
      </c>
      <c r="F159" s="414" t="str">
        <f>IF(OR($C159&lt;'Excerpt WDH'!$B$31,$C159&gt;'Excerpt WDH'!$E$31)," ",$B159*(C159-G$171)*(C159-G$171))</f>
        <v> </v>
      </c>
      <c r="G159" s="414" t="str">
        <f>IF(OR($C159&lt;'Excerpt WDH'!$B$31,$C159&gt;'Excerpt WDH'!$E$31)," ",B159*D159)</f>
        <v> </v>
      </c>
      <c r="H159" s="415" t="str">
        <f>IF(OR($C159&lt;'Excerpt WDH'!$B$31,$C159&gt;'Excerpt WDH'!$E$31)," ",$B159*(D159-I$171)*(D159-I$171))</f>
        <v> </v>
      </c>
      <c r="I159" s="5"/>
      <c r="J159" s="296"/>
      <c r="K159"/>
      <c r="L159" s="209"/>
      <c r="M159" s="209"/>
      <c r="N159" s="209"/>
    </row>
    <row r="160" spans="1:14" s="11" customFormat="1" ht="12.75">
      <c r="A160" s="44" t="str">
        <f>IF(OR($C160&lt;'Excerpt WDH'!$B$31,$C160&gt;'Excerpt WDH'!$E$31)," ",B160)</f>
        <v> </v>
      </c>
      <c r="B160" s="117" t="str">
        <f t="shared" si="3"/>
        <v> </v>
      </c>
      <c r="C160" s="12">
        <f t="shared" si="3"/>
        <v>9</v>
      </c>
      <c r="D160" s="45" t="str">
        <f>IF(OR(C160&lt;'Excerpt WDH'!B$31,C160&gt;'Excerpt WDH'!E$31)," ",10*(C160-'Excerpt WDH'!B$31)/('Excerpt WDH'!E$31-'Excerpt WDH'!B$31))</f>
        <v> </v>
      </c>
      <c r="E160" s="414" t="str">
        <f>IF(OR($C160&lt;'Excerpt WDH'!$B$31,$C160&gt;'Excerpt WDH'!$E$31)," ",B160*C160)</f>
        <v> </v>
      </c>
      <c r="F160" s="414" t="str">
        <f>IF(OR($C160&lt;'Excerpt WDH'!$B$31,$C160&gt;'Excerpt WDH'!$E$31)," ",$B160*(C160-G$171)*(C160-G$171))</f>
        <v> </v>
      </c>
      <c r="G160" s="414" t="str">
        <f>IF(OR($C160&lt;'Excerpt WDH'!$B$31,$C160&gt;'Excerpt WDH'!$E$31)," ",B160*D160)</f>
        <v> </v>
      </c>
      <c r="H160" s="415" t="str">
        <f>IF(OR($C160&lt;'Excerpt WDH'!$B$31,$C160&gt;'Excerpt WDH'!$E$31)," ",$B160*(D160-I$171)*(D160-I$171))</f>
        <v> </v>
      </c>
      <c r="I160" s="5"/>
      <c r="J160" s="296"/>
      <c r="K160"/>
      <c r="L160" s="209"/>
      <c r="M160" s="209"/>
      <c r="N160" s="209"/>
    </row>
    <row r="161" spans="1:14" s="11" customFormat="1" ht="12.75">
      <c r="A161" s="44" t="str">
        <f>IF(OR($C161&lt;'Excerpt WDH'!$B$31,$C161&gt;'Excerpt WDH'!$E$31)," ",B161)</f>
        <v> </v>
      </c>
      <c r="B161" s="117" t="str">
        <f t="shared" si="3"/>
        <v> </v>
      </c>
      <c r="C161" s="12">
        <f t="shared" si="3"/>
        <v>8</v>
      </c>
      <c r="D161" s="45" t="str">
        <f>IF(OR(C161&lt;'Excerpt WDH'!B$31,C161&gt;'Excerpt WDH'!E$31)," ",10*(C161-'Excerpt WDH'!B$31)/('Excerpt WDH'!E$31-'Excerpt WDH'!B$31))</f>
        <v> </v>
      </c>
      <c r="E161" s="414" t="str">
        <f>IF(OR($C161&lt;'Excerpt WDH'!$B$31,$C161&gt;'Excerpt WDH'!$E$31)," ",B161*C161)</f>
        <v> </v>
      </c>
      <c r="F161" s="414" t="str">
        <f>IF(OR($C161&lt;'Excerpt WDH'!$B$31,$C161&gt;'Excerpt WDH'!$E$31)," ",$B161*(C161-G$171)*(C161-G$171))</f>
        <v> </v>
      </c>
      <c r="G161" s="414" t="str">
        <f>IF(OR($C161&lt;'Excerpt WDH'!$B$31,$C161&gt;'Excerpt WDH'!$E$31)," ",B161*D161)</f>
        <v> </v>
      </c>
      <c r="H161" s="415" t="str">
        <f>IF(OR($C161&lt;'Excerpt WDH'!$B$31,$C161&gt;'Excerpt WDH'!$E$31)," ",$B161*(D161-I$171)*(D161-I$171))</f>
        <v> </v>
      </c>
      <c r="I161" s="5"/>
      <c r="J161" s="296"/>
      <c r="K161"/>
      <c r="L161" s="209"/>
      <c r="M161" s="209"/>
      <c r="N161" s="209"/>
    </row>
    <row r="162" spans="1:14" s="11" customFormat="1" ht="12.75">
      <c r="A162" s="44" t="str">
        <f>IF(OR($C162&lt;'Excerpt WDH'!$B$31,$C162&gt;'Excerpt WDH'!$E$31)," ",B162)</f>
        <v> </v>
      </c>
      <c r="B162" s="117" t="str">
        <f t="shared" si="3"/>
        <v> </v>
      </c>
      <c r="C162" s="12">
        <f t="shared" si="3"/>
        <v>7</v>
      </c>
      <c r="D162" s="45" t="str">
        <f>IF(OR(C162&lt;'Excerpt WDH'!B$31,C162&gt;'Excerpt WDH'!E$31)," ",10*(C162-'Excerpt WDH'!B$31)/('Excerpt WDH'!E$31-'Excerpt WDH'!B$31))</f>
        <v> </v>
      </c>
      <c r="E162" s="414" t="str">
        <f>IF(OR($C162&lt;'Excerpt WDH'!$B$31,$C162&gt;'Excerpt WDH'!$E$31)," ",B162*C162)</f>
        <v> </v>
      </c>
      <c r="F162" s="414" t="str">
        <f>IF(OR($C162&lt;'Excerpt WDH'!$B$31,$C162&gt;'Excerpt WDH'!$E$31)," ",$B162*(C162-G$171)*(C162-G$171))</f>
        <v> </v>
      </c>
      <c r="G162" s="414" t="str">
        <f>IF(OR($C162&lt;'Excerpt WDH'!$B$31,$C162&gt;'Excerpt WDH'!$E$31)," ",B162*D162)</f>
        <v> </v>
      </c>
      <c r="H162" s="415" t="str">
        <f>IF(OR($C162&lt;'Excerpt WDH'!$B$31,$C162&gt;'Excerpt WDH'!$E$31)," ",$B162*(D162-I$171)*(D162-I$171))</f>
        <v> </v>
      </c>
      <c r="I162" s="5"/>
      <c r="J162" s="296"/>
      <c r="K162"/>
      <c r="L162" s="209"/>
      <c r="M162" s="209"/>
      <c r="N162" s="209"/>
    </row>
    <row r="163" spans="1:14" s="11" customFormat="1" ht="12.75">
      <c r="A163" s="44" t="str">
        <f>IF(OR($C163&lt;'Excerpt WDH'!$B$31,$C163&gt;'Excerpt WDH'!$E$31)," ",B163)</f>
        <v> </v>
      </c>
      <c r="B163" s="117" t="str">
        <f t="shared" si="3"/>
        <v> </v>
      </c>
      <c r="C163" s="12">
        <f t="shared" si="3"/>
        <v>6</v>
      </c>
      <c r="D163" s="45" t="str">
        <f>IF(OR(C163&lt;'Excerpt WDH'!B$31,C163&gt;'Excerpt WDH'!E$31)," ",10*(C163-'Excerpt WDH'!B$31)/('Excerpt WDH'!E$31-'Excerpt WDH'!B$31))</f>
        <v> </v>
      </c>
      <c r="E163" s="414" t="str">
        <f>IF(OR($C163&lt;'Excerpt WDH'!$B$31,$C163&gt;'Excerpt WDH'!$E$31)," ",B163*C163)</f>
        <v> </v>
      </c>
      <c r="F163" s="414" t="str">
        <f>IF(OR($C163&lt;'Excerpt WDH'!$B$31,$C163&gt;'Excerpt WDH'!$E$31)," ",$B163*(C163-G$171)*(C163-G$171))</f>
        <v> </v>
      </c>
      <c r="G163" s="414" t="str">
        <f>IF(OR($C163&lt;'Excerpt WDH'!$B$31,$C163&gt;'Excerpt WDH'!$E$31)," ",B163*D163)</f>
        <v> </v>
      </c>
      <c r="H163" s="415" t="str">
        <f>IF(OR($C163&lt;'Excerpt WDH'!$B$31,$C163&gt;'Excerpt WDH'!$E$31)," ",$B163*(D163-I$171)*(D163-I$171))</f>
        <v> </v>
      </c>
      <c r="I163" s="5"/>
      <c r="J163" s="296"/>
      <c r="K163"/>
      <c r="L163" s="209"/>
      <c r="M163" s="209"/>
      <c r="N163" s="209"/>
    </row>
    <row r="164" spans="1:14" s="11" customFormat="1" ht="12.75">
      <c r="A164" s="44" t="str">
        <f>IF(OR($C164&lt;'Excerpt WDH'!$B$31,$C164&gt;'Excerpt WDH'!$E$31)," ",B164)</f>
        <v> </v>
      </c>
      <c r="B164" s="117" t="str">
        <f t="shared" si="3"/>
        <v> </v>
      </c>
      <c r="C164" s="12">
        <f t="shared" si="3"/>
        <v>5</v>
      </c>
      <c r="D164" s="45" t="str">
        <f>IF(OR(C164&lt;'Excerpt WDH'!B$31,C164&gt;'Excerpt WDH'!E$31)," ",10*(C164-'Excerpt WDH'!B$31)/('Excerpt WDH'!E$31-'Excerpt WDH'!B$31))</f>
        <v> </v>
      </c>
      <c r="E164" s="414" t="str">
        <f>IF(OR($C164&lt;'Excerpt WDH'!$B$31,$C164&gt;'Excerpt WDH'!$E$31)," ",B164*C164)</f>
        <v> </v>
      </c>
      <c r="F164" s="414" t="str">
        <f>IF(OR($C164&lt;'Excerpt WDH'!$B$31,$C164&gt;'Excerpt WDH'!$E$31)," ",$B164*(C164-G$171)*(C164-G$171))</f>
        <v> </v>
      </c>
      <c r="G164" s="414" t="str">
        <f>IF(OR($C164&lt;'Excerpt WDH'!$B$31,$C164&gt;'Excerpt WDH'!$E$31)," ",B164*D164)</f>
        <v> </v>
      </c>
      <c r="H164" s="415" t="str">
        <f>IF(OR($C164&lt;'Excerpt WDH'!$B$31,$C164&gt;'Excerpt WDH'!$E$31)," ",$B164*(D164-I$171)*(D164-I$171))</f>
        <v> </v>
      </c>
      <c r="I164" s="5"/>
      <c r="J164" s="296"/>
      <c r="K164"/>
      <c r="L164" s="209"/>
      <c r="M164" s="209"/>
      <c r="N164" s="209"/>
    </row>
    <row r="165" spans="1:14" s="11" customFormat="1" ht="12.75">
      <c r="A165" s="44" t="str">
        <f>IF(OR($C165&lt;'Excerpt WDH'!$B$31,$C165&gt;'Excerpt WDH'!$E$31)," ",B165)</f>
        <v> </v>
      </c>
      <c r="B165" s="117" t="str">
        <f t="shared" si="3"/>
        <v> </v>
      </c>
      <c r="C165" s="12">
        <f t="shared" si="3"/>
        <v>4</v>
      </c>
      <c r="D165" s="45" t="str">
        <f>IF(OR(C165&lt;'Excerpt WDH'!B$31,C165&gt;'Excerpt WDH'!E$31)," ",10*(C165-'Excerpt WDH'!B$31)/('Excerpt WDH'!E$31-'Excerpt WDH'!B$31))</f>
        <v> </v>
      </c>
      <c r="E165" s="414" t="str">
        <f>IF(OR($C165&lt;'Excerpt WDH'!$B$31,$C165&gt;'Excerpt WDH'!$E$31,$G$10&lt;0.5)," ",B165*C165)</f>
        <v> </v>
      </c>
      <c r="F165" s="414" t="str">
        <f>IF(OR($C165&lt;'Excerpt WDH'!$B$31,$C165&gt;'Excerpt WDH'!$E$31)," ",$B165*(C165-G$171)*(C165-G$171))</f>
        <v> </v>
      </c>
      <c r="G165" s="414" t="str">
        <f>IF(OR($C165&lt;'Excerpt WDH'!$B$31,$C165&gt;'Excerpt WDH'!$E$31,$G$10&lt;0.5)," ",B165*D165)</f>
        <v> </v>
      </c>
      <c r="H165" s="415" t="str">
        <f>IF(OR($C165&lt;'Excerpt WDH'!$B$31,$C165&gt;'Excerpt WDH'!$E$31)," ",$B165*(D165-I$171)*(D165-I$171))</f>
        <v> </v>
      </c>
      <c r="I165" s="5"/>
      <c r="J165" s="296"/>
      <c r="K165"/>
      <c r="L165" s="209"/>
      <c r="M165" s="209"/>
      <c r="N165" s="209"/>
    </row>
    <row r="166" spans="1:14" s="11" customFormat="1" ht="12.75">
      <c r="A166" s="44">
        <f>IF(OR($C166&lt;'Excerpt WDH'!$B$31,$C166&gt;'Excerpt WDH'!$E$31)," ",B166)</f>
        <v>60</v>
      </c>
      <c r="B166" s="117">
        <f t="shared" si="3"/>
        <v>60</v>
      </c>
      <c r="C166" s="12">
        <f t="shared" si="3"/>
        <v>3</v>
      </c>
      <c r="D166" s="45">
        <f>IF(OR(C166&lt;'Excerpt WDH'!B$31,C166&gt;'Excerpt WDH'!E$31)," ",10*(C166-'Excerpt WDH'!B$31)/('Excerpt WDH'!E$31-'Excerpt WDH'!B$31))</f>
        <v>10</v>
      </c>
      <c r="E166" s="414">
        <f>IF(OR($C166&lt;'Excerpt WDH'!$B$31,$C166&gt;'Excerpt WDH'!$E$31,$G$10&lt;0.5)," ",B166*C166)</f>
        <v>180</v>
      </c>
      <c r="F166" s="414">
        <f>IF(OR($C166&lt;'Excerpt WDH'!$B$31,$C166&gt;'Excerpt WDH'!$E$31)," ",$B166*(C166-G$171)*(C166-G$171))</f>
        <v>21.60000000000001</v>
      </c>
      <c r="G166" s="414">
        <f>IF(OR($C166&lt;'Excerpt WDH'!$B$31,$C166&gt;'Excerpt WDH'!$E$31,$G$10&lt;0.5)," ",B166*D166)</f>
        <v>600</v>
      </c>
      <c r="H166" s="415">
        <f>IF(OR($C166&lt;'Excerpt WDH'!$B$31,$C166&gt;'Excerpt WDH'!$E$31)," ",$B166*(D166-I$171)*(D166-I$171))</f>
        <v>540</v>
      </c>
      <c r="I166" s="5"/>
      <c r="J166" s="296"/>
      <c r="K166"/>
      <c r="L166" s="209"/>
      <c r="M166" s="209"/>
      <c r="N166" s="209"/>
    </row>
    <row r="167" spans="1:14" s="11" customFormat="1" ht="12.75">
      <c r="A167" s="44">
        <f>IF(OR($C167&lt;'Excerpt WDH'!$B$31,$C167&gt;'Excerpt WDH'!$E$31)," ",B167)</f>
        <v>20</v>
      </c>
      <c r="B167" s="117">
        <f t="shared" si="3"/>
        <v>20</v>
      </c>
      <c r="C167" s="12">
        <f t="shared" si="3"/>
        <v>2</v>
      </c>
      <c r="D167" s="45">
        <f>IF(OR(C167&lt;'Excerpt WDH'!B$31,C167&gt;'Excerpt WDH'!E$31)," ",10*(C167-'Excerpt WDH'!B$31)/('Excerpt WDH'!E$31-'Excerpt WDH'!B$31))</f>
        <v>5</v>
      </c>
      <c r="E167" s="414">
        <f>IF(OR($C167&lt;'Excerpt WDH'!$B$31,$C167&gt;'Excerpt WDH'!$E$31,$G$10&lt;0.5)," ",B167*C167)</f>
        <v>40</v>
      </c>
      <c r="F167" s="414">
        <f>IF(OR($C167&lt;'Excerpt WDH'!$B$31,$C167&gt;'Excerpt WDH'!$E$31)," ",$B167*(C167-G$171)*(C167-G$171))</f>
        <v>3.1999999999999984</v>
      </c>
      <c r="G167" s="414">
        <f>IF(OR($C167&lt;'Excerpt WDH'!$B$31,$C167&gt;'Excerpt WDH'!$E$31,$G$10&lt;0.5)," ",B167*D167)</f>
        <v>100</v>
      </c>
      <c r="H167" s="415">
        <f>IF(OR($C167&lt;'Excerpt WDH'!$B$31,$C167&gt;'Excerpt WDH'!$E$31)," ",$B167*(D167-I$171)*(D167-I$171))</f>
        <v>80</v>
      </c>
      <c r="I167" s="5"/>
      <c r="J167" s="296"/>
      <c r="K167"/>
      <c r="L167" s="209"/>
      <c r="M167" s="209"/>
      <c r="N167" s="209"/>
    </row>
    <row r="168" spans="1:14" s="11" customFormat="1" ht="12.75">
      <c r="A168" s="44">
        <f>IF(OR($C168&lt;'Excerpt WDH'!$B$31,$C168&gt;'Excerpt WDH'!$E$31)," ",B168)</f>
        <v>20</v>
      </c>
      <c r="B168" s="117">
        <f t="shared" si="3"/>
        <v>20</v>
      </c>
      <c r="C168" s="12">
        <f t="shared" si="3"/>
        <v>1</v>
      </c>
      <c r="D168" s="45">
        <f>IF(OR(C168&lt;'Excerpt WDH'!B$31,C168&gt;'Excerpt WDH'!E$31)," ",10*(C168-'Excerpt WDH'!B$31)/('Excerpt WDH'!E$31-'Excerpt WDH'!B$31))</f>
        <v>0</v>
      </c>
      <c r="E168" s="414">
        <f>IF(OR($C168&lt;'Excerpt WDH'!$B$31,$C168&gt;'Excerpt WDH'!$E$31,$G$10&lt;0.5)," ",B168*C168)</f>
        <v>20</v>
      </c>
      <c r="F168" s="414">
        <f>IF(OR($C168&lt;'Excerpt WDH'!$B$31,$C168&gt;'Excerpt WDH'!$E$31)," ",$B168*(C168-G$171)*(C168-G$171))</f>
        <v>39.199999999999996</v>
      </c>
      <c r="G168" s="414">
        <f>IF(OR($C168&lt;'Excerpt WDH'!$B$31,$C168&gt;'Excerpt WDH'!$E$31,$G$10&lt;0.5)," ",B168*D168)</f>
        <v>0</v>
      </c>
      <c r="H168" s="415">
        <f>IF(OR($C168&lt;'Excerpt WDH'!$B$31,$C168&gt;'Excerpt WDH'!$E$31)," ",$B168*(D168-I$171)*(D168-I$171))</f>
        <v>980</v>
      </c>
      <c r="I168" s="5"/>
      <c r="J168" s="296"/>
      <c r="K168"/>
      <c r="L168" s="209"/>
      <c r="M168" s="209"/>
      <c r="N168" s="209"/>
    </row>
    <row r="169" spans="1:14" s="11" customFormat="1" ht="13.5" thickBot="1">
      <c r="A169" s="44" t="str">
        <f>IF(OR($C169&lt;'Excerpt WDH'!$B$31,$C169&gt;'Excerpt WDH'!$E$31)," ",B169)</f>
        <v> </v>
      </c>
      <c r="B169" s="117" t="str">
        <f t="shared" si="3"/>
        <v> </v>
      </c>
      <c r="C169" s="12">
        <f t="shared" si="3"/>
        <v>0</v>
      </c>
      <c r="D169" s="45" t="str">
        <f>IF(OR(C169&lt;'Excerpt WDH'!B$31,C169&gt;'Excerpt WDH'!E$31)," ",10*(C169-'Excerpt WDH'!B$31)/('Excerpt WDH'!E$31-'Excerpt WDH'!B$31))</f>
        <v> </v>
      </c>
      <c r="E169" s="414" t="str">
        <f>IF(OR($C169&lt;'Excerpt WDH'!$B$31,$C169&gt;'Excerpt WDH'!$E$31,$G$10&lt;0.5)," ",B169*C169)</f>
        <v> </v>
      </c>
      <c r="F169" s="414" t="str">
        <f>IF(OR($C169&lt;'Excerpt WDH'!$B$31,$C169&gt;'Excerpt WDH'!$E$31)," ",$B169*(C169-G$171)*(C169-G$171))</f>
        <v> </v>
      </c>
      <c r="G169" s="414" t="str">
        <f>IF(OR($C169&lt;'Excerpt WDH'!$B$31,$C169&gt;'Excerpt WDH'!$E$31,$G$10&lt;0.5)," ",B169*D169)</f>
        <v> </v>
      </c>
      <c r="H169" s="415" t="str">
        <f>IF(OR($C169&lt;'Excerpt WDH'!$B$31,$C169&gt;'Excerpt WDH'!$E$31)," ",$B169*(D169-I$171)*(D169-I$171))</f>
        <v> </v>
      </c>
      <c r="I169" s="5"/>
      <c r="J169" s="296"/>
      <c r="K169"/>
      <c r="L169" s="209"/>
      <c r="M169" s="209"/>
      <c r="N169" s="209"/>
    </row>
    <row r="170" spans="1:14" s="11" customFormat="1" ht="12.75">
      <c r="A170" s="131" t="s">
        <v>45</v>
      </c>
      <c r="B170" s="105"/>
      <c r="C170" s="510" t="str">
        <f>IF('Excerpt WDH'!$C$32=1,"AFTER SCALE REVERSION !"," ")</f>
        <v> </v>
      </c>
      <c r="D170" s="105"/>
      <c r="E170" s="105"/>
      <c r="F170" s="105"/>
      <c r="G170" s="140" t="s">
        <v>3</v>
      </c>
      <c r="H170" s="105"/>
      <c r="I170" s="141" t="s">
        <v>5</v>
      </c>
      <c r="J170" s="296"/>
      <c r="K170"/>
      <c r="L170" s="209"/>
      <c r="M170" s="209"/>
      <c r="N170" s="209"/>
    </row>
    <row r="171" spans="1:14" s="11" customFormat="1" ht="12.75">
      <c r="A171" s="132"/>
      <c r="B171" s="133"/>
      <c r="C171" s="133"/>
      <c r="D171" s="133"/>
      <c r="E171" s="133"/>
      <c r="F171" s="73" t="s">
        <v>6</v>
      </c>
      <c r="G171" s="134">
        <f>IF($G$13=0,"     ",+E156/$G$13)</f>
        <v>2.4</v>
      </c>
      <c r="H171" s="12"/>
      <c r="I171" s="135">
        <f>IF($G$13=0,"     ",+G156/$G$13)</f>
        <v>7</v>
      </c>
      <c r="J171" s="296"/>
      <c r="K171"/>
      <c r="L171" s="209"/>
      <c r="M171" s="209"/>
      <c r="N171" s="209"/>
    </row>
    <row r="172" spans="1:14" s="11" customFormat="1" ht="12.75">
      <c r="A172" s="132"/>
      <c r="B172" s="133"/>
      <c r="C172" s="133"/>
      <c r="D172" s="133"/>
      <c r="E172" s="133"/>
      <c r="F172" s="73" t="s">
        <v>30</v>
      </c>
      <c r="G172" s="136">
        <f>G$171-(TINV(0.05,$H$174))*G175/(SQRT($G$13))</f>
        <v>2.240462958527797</v>
      </c>
      <c r="H172" s="12"/>
      <c r="I172" s="137">
        <f>I$171-(TINV(0.05,$H$174))*I175/(SQRT($G$13))</f>
        <v>6.202314792638987</v>
      </c>
      <c r="J172" s="296"/>
      <c r="K172"/>
      <c r="L172" s="209"/>
      <c r="M172" s="209"/>
      <c r="N172" s="209"/>
    </row>
    <row r="173" spans="1:14" s="11" customFormat="1" ht="12.75">
      <c r="A173" s="132"/>
      <c r="B173" s="133"/>
      <c r="C173" s="133"/>
      <c r="D173" s="133"/>
      <c r="E173" s="133"/>
      <c r="F173" s="73" t="s">
        <v>31</v>
      </c>
      <c r="G173" s="136">
        <f>G$171+(TINV(0.05,$H$174))*G175/(SQRT($G$13))</f>
        <v>2.5595370414722027</v>
      </c>
      <c r="H173" s="12"/>
      <c r="I173" s="137">
        <f>I$171+(TINV(0.05,$H$174))*I175/(SQRT($G$13))</f>
        <v>7.797685207361013</v>
      </c>
      <c r="J173" s="296"/>
      <c r="K173"/>
      <c r="L173" s="209"/>
      <c r="M173" s="209"/>
      <c r="N173" s="209"/>
    </row>
    <row r="174" spans="1:14" s="11" customFormat="1" ht="12.75">
      <c r="A174" s="132"/>
      <c r="B174" s="133"/>
      <c r="C174" s="133"/>
      <c r="D174" s="133"/>
      <c r="E174" s="133"/>
      <c r="F174" s="73" t="s">
        <v>27</v>
      </c>
      <c r="G174" s="136">
        <f>IF(G13&lt;2,"   ",+F156/(G13-1))</f>
        <v>0.6464646464646465</v>
      </c>
      <c r="H174" s="431">
        <f>G13-1</f>
        <v>99</v>
      </c>
      <c r="I174" s="137">
        <f>IF(G13&lt;2,"   ",+H156/(G13-1))</f>
        <v>16.161616161616163</v>
      </c>
      <c r="J174" s="296"/>
      <c r="K174"/>
      <c r="L174" s="209"/>
      <c r="M174" s="209"/>
      <c r="N174" s="209"/>
    </row>
    <row r="175" spans="1:14" s="11" customFormat="1" ht="12.75">
      <c r="A175" s="142"/>
      <c r="B175" s="143"/>
      <c r="C175" s="143"/>
      <c r="D175" s="143"/>
      <c r="E175" s="143"/>
      <c r="F175" s="144" t="s">
        <v>28</v>
      </c>
      <c r="G175" s="136">
        <f>IF($G$13=0,"      ",+SQRT(G174))</f>
        <v>0.8040302522073697</v>
      </c>
      <c r="H175" s="158" t="s">
        <v>41</v>
      </c>
      <c r="I175" s="137">
        <f>IF($G$13=0,"      ",+SQRT(I174))</f>
        <v>4.020151261036848</v>
      </c>
      <c r="J175" s="296"/>
      <c r="K175"/>
      <c r="L175" s="209"/>
      <c r="M175" s="209"/>
      <c r="N175" s="209"/>
    </row>
    <row r="176" spans="1:14" s="11" customFormat="1" ht="12.75">
      <c r="A176" s="513" t="str">
        <f>IF('Excerpt WDH'!$C$32=1,"STATISTICS BEFORE SCALE REVERSION"," ")</f>
        <v> </v>
      </c>
      <c r="B176" s="133"/>
      <c r="C176" s="12"/>
      <c r="D176" s="12"/>
      <c r="E176" s="12"/>
      <c r="F176" s="138"/>
      <c r="G176" s="145" t="s">
        <v>3</v>
      </c>
      <c r="H176" s="115"/>
      <c r="I176" s="146" t="s">
        <v>5</v>
      </c>
      <c r="J176" s="296"/>
      <c r="K176"/>
      <c r="L176" s="209"/>
      <c r="M176" s="209"/>
      <c r="N176" s="209"/>
    </row>
    <row r="177" spans="1:14" s="11" customFormat="1" ht="12.75">
      <c r="A177" s="132"/>
      <c r="B177" s="133"/>
      <c r="C177" s="133"/>
      <c r="D177" s="133"/>
      <c r="E177" s="133"/>
      <c r="F177" s="139" t="s">
        <v>6</v>
      </c>
      <c r="G177" s="134" t="str">
        <f>IF(D123=1,'Excerpt WDH'!$E$31+'Excerpt WDH'!$B$31-G171,"    ")</f>
        <v>    </v>
      </c>
      <c r="H177" s="115"/>
      <c r="I177" s="135">
        <f>IF(D123=1,10-I171,"")</f>
      </c>
      <c r="J177" s="296"/>
      <c r="K177"/>
      <c r="L177" s="209"/>
      <c r="M177" s="209"/>
      <c r="N177" s="209"/>
    </row>
    <row r="178" spans="1:14" s="11" customFormat="1" ht="12.75">
      <c r="A178" s="132"/>
      <c r="B178" s="133"/>
      <c r="C178" s="133"/>
      <c r="D178" s="133"/>
      <c r="E178" s="133"/>
      <c r="F178" s="73" t="s">
        <v>30</v>
      </c>
      <c r="G178" s="134">
        <f>IF(D123=1,'Excerpt WDH'!$E$31+'Excerpt WDH'!$B$31-G173,"")</f>
      </c>
      <c r="H178" s="115"/>
      <c r="I178" s="135">
        <f>IF(D123=1,10-I173,"")</f>
      </c>
      <c r="J178" s="296"/>
      <c r="K178"/>
      <c r="L178" s="209"/>
      <c r="M178" s="209"/>
      <c r="N178" s="209"/>
    </row>
    <row r="179" spans="1:14" s="11" customFormat="1" ht="12.75">
      <c r="A179" s="132"/>
      <c r="B179" s="133"/>
      <c r="C179" s="133"/>
      <c r="D179" s="133"/>
      <c r="E179" s="133"/>
      <c r="F179" s="73" t="s">
        <v>31</v>
      </c>
      <c r="G179" s="134">
        <f>IF(D123=1,'Excerpt WDH'!$E$31+'Excerpt WDH'!$B$31-G172,"")</f>
      </c>
      <c r="H179" s="219"/>
      <c r="I179" s="135">
        <f>IF(D123=1,10-I172,"")</f>
      </c>
      <c r="J179" s="296"/>
      <c r="K179"/>
      <c r="L179" s="209"/>
      <c r="M179" s="209"/>
      <c r="N179" s="209"/>
    </row>
    <row r="180" spans="1:14" s="11" customFormat="1" ht="12.75">
      <c r="A180" s="121"/>
      <c r="B180" s="133"/>
      <c r="C180" s="133"/>
      <c r="D180" s="133"/>
      <c r="E180" s="133"/>
      <c r="F180" s="73"/>
      <c r="G180" s="74"/>
      <c r="H180" s="115"/>
      <c r="I180" s="75"/>
      <c r="J180" s="12"/>
      <c r="K180"/>
      <c r="L180" s="209"/>
      <c r="M180" s="209"/>
      <c r="N180" s="209"/>
    </row>
    <row r="181" spans="1:14" s="11" customFormat="1" ht="12.75">
      <c r="A181" s="121" t="s">
        <v>68</v>
      </c>
      <c r="B181" s="133"/>
      <c r="C181" s="133" t="s">
        <v>173</v>
      </c>
      <c r="D181" s="133"/>
      <c r="E181" s="133"/>
      <c r="F181" s="222">
        <f>SQRT(G146/G10+G174/G13)</f>
        <v>0.11891767800211263</v>
      </c>
      <c r="G181" s="448" t="s">
        <v>198</v>
      </c>
      <c r="H181" s="115"/>
      <c r="I181" s="75"/>
      <c r="J181" s="12"/>
      <c r="K181"/>
      <c r="L181" s="209"/>
      <c r="M181" s="209"/>
      <c r="N181" s="209"/>
    </row>
    <row r="182" spans="1:14" s="11" customFormat="1" ht="12.75">
      <c r="A182" s="121"/>
      <c r="B182" s="133"/>
      <c r="C182" s="133"/>
      <c r="D182" s="133"/>
      <c r="E182" s="133"/>
      <c r="F182" s="222">
        <f>SQRT(I146/G10+I174/G13)</f>
        <v>0.5945883900105632</v>
      </c>
      <c r="G182" s="448" t="s">
        <v>199</v>
      </c>
      <c r="H182" s="115"/>
      <c r="I182" s="75"/>
      <c r="J182" s="12"/>
      <c r="K182"/>
      <c r="L182" s="209"/>
      <c r="M182" s="209"/>
      <c r="N182" s="209"/>
    </row>
    <row r="183" spans="1:14" s="11" customFormat="1" ht="12.75">
      <c r="A183" s="121" t="s">
        <v>102</v>
      </c>
      <c r="B183" s="133"/>
      <c r="C183" s="133"/>
      <c r="D183" s="133"/>
      <c r="E183" s="133" t="s">
        <v>103</v>
      </c>
      <c r="F183" s="302">
        <f>SQRT((H22*I22+H31*I31)/(H22+H31))</f>
        <v>4.204374825912609</v>
      </c>
      <c r="G183" s="74"/>
      <c r="H183" s="115"/>
      <c r="I183" s="75"/>
      <c r="J183" s="12"/>
      <c r="K183"/>
      <c r="L183" s="209"/>
      <c r="M183" s="209"/>
      <c r="N183" s="209"/>
    </row>
    <row r="184" spans="1:14" s="11" customFormat="1" ht="12.75">
      <c r="A184" s="121"/>
      <c r="B184" s="133"/>
      <c r="C184" s="133"/>
      <c r="D184" s="133"/>
      <c r="E184" s="133"/>
      <c r="F184" s="302"/>
      <c r="G184" s="74"/>
      <c r="H184" s="115"/>
      <c r="I184" s="75"/>
      <c r="J184" s="12"/>
      <c r="K184"/>
      <c r="L184" s="209"/>
      <c r="M184" s="209"/>
      <c r="N184" s="209"/>
    </row>
    <row r="185" spans="1:14" s="11" customFormat="1" ht="12.75">
      <c r="A185" s="34" t="s">
        <v>111</v>
      </c>
      <c r="B185" s="6"/>
      <c r="C185" s="6"/>
      <c r="D185" s="6"/>
      <c r="E185" s="6"/>
      <c r="F185" s="271"/>
      <c r="G185" s="74"/>
      <c r="H185" s="115"/>
      <c r="I185" s="75"/>
      <c r="J185" s="12"/>
      <c r="K185"/>
      <c r="L185" s="209"/>
      <c r="M185" s="209"/>
      <c r="N185" s="209"/>
    </row>
    <row r="186" spans="1:14" s="11" customFormat="1" ht="12.75">
      <c r="A186" s="34"/>
      <c r="B186" s="6"/>
      <c r="C186" s="6"/>
      <c r="D186" s="6" t="s">
        <v>106</v>
      </c>
      <c r="F186" s="305">
        <f>(G10*I18+G13*I27)/(G10+G13)</f>
        <v>6.5</v>
      </c>
      <c r="G186" s="74"/>
      <c r="H186" s="115"/>
      <c r="I186" s="75"/>
      <c r="J186" s="12"/>
      <c r="K186"/>
      <c r="L186" s="209"/>
      <c r="M186" s="209"/>
      <c r="N186" s="209"/>
    </row>
    <row r="187" spans="1:14" s="11" customFormat="1" ht="12.75">
      <c r="A187" s="34"/>
      <c r="B187" s="6"/>
      <c r="C187" s="6"/>
      <c r="D187" s="6" t="s">
        <v>107</v>
      </c>
      <c r="F187" s="430">
        <f>G10*(I18-F186)*(I18-F186)+G13*(I27-F186)*(I27-F186)</f>
        <v>50</v>
      </c>
      <c r="G187" s="74"/>
      <c r="H187" s="115"/>
      <c r="I187" s="75"/>
      <c r="J187" s="12"/>
      <c r="K187"/>
      <c r="L187" s="209"/>
      <c r="M187" s="209"/>
      <c r="N187" s="209"/>
    </row>
    <row r="188" spans="1:14" s="11" customFormat="1" ht="12.75">
      <c r="A188" s="34"/>
      <c r="B188" s="6"/>
      <c r="C188" s="6"/>
      <c r="D188" s="6" t="s">
        <v>108</v>
      </c>
      <c r="F188" s="430">
        <f>H22*I22+H31*I31</f>
        <v>3500</v>
      </c>
      <c r="G188" s="74"/>
      <c r="H188" s="115"/>
      <c r="I188" s="75"/>
      <c r="J188" s="12"/>
      <c r="K188"/>
      <c r="L188" s="209"/>
      <c r="M188" s="209"/>
      <c r="N188" s="209"/>
    </row>
    <row r="189" spans="1:14" s="11" customFormat="1" ht="12.75">
      <c r="A189" s="34"/>
      <c r="B189" s="6"/>
      <c r="C189" s="6"/>
      <c r="D189" s="6" t="s">
        <v>109</v>
      </c>
      <c r="F189" s="430">
        <f>F187+F188</f>
        <v>3550</v>
      </c>
      <c r="G189" s="74"/>
      <c r="H189" s="115"/>
      <c r="I189" s="75"/>
      <c r="J189" s="12"/>
      <c r="K189"/>
      <c r="L189" s="209"/>
      <c r="M189" s="209"/>
      <c r="N189" s="209"/>
    </row>
    <row r="190" spans="1:14" s="11" customFormat="1" ht="13.5" thickBot="1">
      <c r="A190" s="303"/>
      <c r="B190" s="45"/>
      <c r="C190" s="45"/>
      <c r="D190" s="45"/>
      <c r="E190" s="45"/>
      <c r="F190" s="302"/>
      <c r="G190" s="74"/>
      <c r="H190" s="74"/>
      <c r="I190" s="75"/>
      <c r="J190" s="12"/>
      <c r="K190"/>
      <c r="L190" s="209"/>
      <c r="M190" s="209"/>
      <c r="N190" s="209"/>
    </row>
    <row r="191" spans="1:14" ht="15.75" thickBot="1">
      <c r="A191" s="160"/>
      <c r="B191" s="515" t="str">
        <f>Intro!$I$2</f>
        <v>2007-08-15</v>
      </c>
      <c r="C191" s="161"/>
      <c r="D191" s="161"/>
      <c r="E191" s="220" t="s">
        <v>69</v>
      </c>
      <c r="F191" s="221"/>
      <c r="G191" s="162"/>
      <c r="H191" s="162"/>
      <c r="I191" s="514" t="s">
        <v>1</v>
      </c>
      <c r="J191" s="6"/>
      <c r="K191"/>
      <c r="L191"/>
      <c r="M191"/>
      <c r="N191"/>
    </row>
    <row r="192" spans="1:14" ht="13.5" thickTop="1">
      <c r="A192" s="286"/>
      <c r="B192" s="286"/>
      <c r="C192" s="286"/>
      <c r="D192" s="286"/>
      <c r="E192" s="286"/>
      <c r="F192" s="286"/>
      <c r="G192" s="286"/>
      <c r="H192" s="286"/>
      <c r="I192" s="286"/>
      <c r="J192" s="286"/>
      <c r="K192"/>
      <c r="L192"/>
      <c r="M192"/>
      <c r="N192"/>
    </row>
    <row r="193" spans="1:14" ht="12.75">
      <c r="A193" s="286"/>
      <c r="B193" s="286"/>
      <c r="C193" s="286"/>
      <c r="D193" s="286"/>
      <c r="E193" s="286"/>
      <c r="F193" s="286"/>
      <c r="G193" s="286"/>
      <c r="H193" s="286"/>
      <c r="I193" s="286"/>
      <c r="J193" s="286"/>
      <c r="K193"/>
      <c r="L193"/>
      <c r="M193"/>
      <c r="N193"/>
    </row>
    <row r="194" spans="1:14" ht="12.75">
      <c r="A194" s="286"/>
      <c r="B194" s="286"/>
      <c r="C194" s="286"/>
      <c r="D194" s="286"/>
      <c r="E194" s="286"/>
      <c r="F194" s="286"/>
      <c r="G194" s="286"/>
      <c r="H194" s="286"/>
      <c r="I194" s="286"/>
      <c r="J194" s="286"/>
      <c r="K194"/>
      <c r="L194"/>
      <c r="M194"/>
      <c r="N194"/>
    </row>
    <row r="195" spans="1:14" ht="12.75">
      <c r="A195" s="286"/>
      <c r="B195" s="286"/>
      <c r="C195" s="286"/>
      <c r="D195" s="45"/>
      <c r="E195" s="286"/>
      <c r="F195" s="302"/>
      <c r="G195" s="286"/>
      <c r="H195" s="286"/>
      <c r="I195" s="286"/>
      <c r="J195" s="286"/>
      <c r="K195"/>
      <c r="L195"/>
      <c r="M195"/>
      <c r="N195"/>
    </row>
    <row r="196" spans="1:14" ht="12.75">
      <c r="A196" s="286"/>
      <c r="B196" s="286"/>
      <c r="C196" s="286"/>
      <c r="D196" s="286"/>
      <c r="E196" s="286"/>
      <c r="F196" s="286"/>
      <c r="G196" s="286"/>
      <c r="H196" s="286"/>
      <c r="I196" s="286"/>
      <c r="J196" s="286"/>
      <c r="K196"/>
      <c r="L196"/>
      <c r="M196"/>
      <c r="N196"/>
    </row>
    <row r="197" spans="1:11" ht="12.75">
      <c r="A197" s="286"/>
      <c r="B197" s="286"/>
      <c r="C197" s="286"/>
      <c r="D197" s="286"/>
      <c r="E197" s="286"/>
      <c r="F197" s="286"/>
      <c r="G197" s="286"/>
      <c r="H197" s="286"/>
      <c r="I197" s="286"/>
      <c r="J197" s="286"/>
      <c r="K197"/>
    </row>
    <row r="198" spans="1:11" ht="12.75">
      <c r="A198" s="286"/>
      <c r="B198" s="286"/>
      <c r="C198" s="286"/>
      <c r="D198" s="286"/>
      <c r="E198" s="286"/>
      <c r="F198" s="286"/>
      <c r="G198" s="286"/>
      <c r="H198" s="286"/>
      <c r="I198" s="286"/>
      <c r="J198" s="286"/>
      <c r="K198"/>
    </row>
    <row r="199" spans="1:11" ht="12.75">
      <c r="A199" s="286"/>
      <c r="B199" s="286"/>
      <c r="C199" s="286"/>
      <c r="D199" s="286"/>
      <c r="E199" s="286"/>
      <c r="F199" s="286"/>
      <c r="G199" s="286"/>
      <c r="H199" s="286"/>
      <c r="I199" s="286"/>
      <c r="J199" s="286"/>
      <c r="K199"/>
    </row>
    <row r="200" spans="1:11" ht="12.75">
      <c r="A200" s="286"/>
      <c r="B200" s="286"/>
      <c r="C200" s="286"/>
      <c r="D200" s="286"/>
      <c r="E200" s="286"/>
      <c r="F200" s="286"/>
      <c r="G200" s="286"/>
      <c r="H200" s="286"/>
      <c r="I200" s="286"/>
      <c r="J200" s="286"/>
      <c r="K200"/>
    </row>
    <row r="201" spans="1:11" ht="12.75">
      <c r="A201" s="286"/>
      <c r="B201" s="286"/>
      <c r="C201" s="286"/>
      <c r="D201" s="286"/>
      <c r="E201" s="286"/>
      <c r="F201" s="286"/>
      <c r="G201" s="286"/>
      <c r="H201" s="286"/>
      <c r="I201" s="286"/>
      <c r="J201" s="286"/>
      <c r="K201"/>
    </row>
    <row r="202" spans="1:11" ht="12.75">
      <c r="A202" s="286"/>
      <c r="B202" s="286"/>
      <c r="C202" s="286"/>
      <c r="D202" s="286"/>
      <c r="E202" s="286"/>
      <c r="F202" s="286"/>
      <c r="G202" s="286"/>
      <c r="H202" s="286"/>
      <c r="I202" s="286"/>
      <c r="J202" s="286"/>
      <c r="K202"/>
    </row>
    <row r="203" spans="1:11" ht="12.75">
      <c r="A203" s="286"/>
      <c r="B203" s="286"/>
      <c r="C203" s="286"/>
      <c r="D203" s="286"/>
      <c r="E203" s="286"/>
      <c r="F203" s="286"/>
      <c r="G203" s="286"/>
      <c r="H203" s="286"/>
      <c r="I203" s="286"/>
      <c r="J203" s="286"/>
      <c r="K203"/>
    </row>
    <row r="204" spans="1:11" ht="12.75">
      <c r="A204" s="286"/>
      <c r="B204" s="286"/>
      <c r="C204" s="286"/>
      <c r="D204" s="286"/>
      <c r="E204" s="286"/>
      <c r="F204" s="286"/>
      <c r="G204" s="286"/>
      <c r="H204" s="286"/>
      <c r="I204" s="286"/>
      <c r="J204" s="286"/>
      <c r="K204"/>
    </row>
    <row r="205" ht="12.75">
      <c r="K205"/>
    </row>
    <row r="206" ht="12.75">
      <c r="K206"/>
    </row>
    <row r="207" ht="12.75">
      <c r="K207"/>
    </row>
    <row r="208" ht="12.75">
      <c r="K208"/>
    </row>
    <row r="209" ht="12.75">
      <c r="K209"/>
    </row>
    <row r="210" ht="12.75">
      <c r="K210"/>
    </row>
    <row r="211" ht="12.75">
      <c r="K211"/>
    </row>
    <row r="212" ht="12.75">
      <c r="K212"/>
    </row>
    <row r="213" ht="12.75">
      <c r="K213"/>
    </row>
    <row r="214" ht="12.75">
      <c r="K214"/>
    </row>
    <row r="215" ht="12.75">
      <c r="K215"/>
    </row>
    <row r="216" ht="12.75">
      <c r="K216"/>
    </row>
    <row r="217" ht="12.75">
      <c r="K217"/>
    </row>
    <row r="218" ht="12.75">
      <c r="K218"/>
    </row>
    <row r="219" ht="12.75">
      <c r="K219"/>
    </row>
    <row r="220" ht="12.75">
      <c r="K220"/>
    </row>
    <row r="221" ht="12.75">
      <c r="K221"/>
    </row>
    <row r="222" ht="12.75">
      <c r="K222"/>
    </row>
    <row r="223" ht="12.75">
      <c r="K223"/>
    </row>
    <row r="224" ht="12.75">
      <c r="K224"/>
    </row>
    <row r="225" ht="12.75">
      <c r="K225"/>
    </row>
    <row r="226" ht="12.75">
      <c r="K226"/>
    </row>
    <row r="227" ht="12.75">
      <c r="K227"/>
    </row>
    <row r="228" ht="12.75">
      <c r="K228"/>
    </row>
    <row r="229" ht="12.75">
      <c r="K229"/>
    </row>
    <row r="230" ht="12.75">
      <c r="K230"/>
    </row>
    <row r="231" ht="12.75">
      <c r="K231"/>
    </row>
  </sheetData>
  <sheetProtection password="C550" sheet="1" objects="1" scenarios="1"/>
  <mergeCells count="3">
    <mergeCell ref="B98:D98"/>
    <mergeCell ref="B121:D121"/>
    <mergeCell ref="A1:I1"/>
  </mergeCells>
  <conditionalFormatting sqref="G46 G36">
    <cfRule type="expression" priority="1" dxfId="0" stopIfTrue="1">
      <formula>H37&lt;0</formula>
    </cfRule>
  </conditionalFormatting>
  <conditionalFormatting sqref="I17">
    <cfRule type="expression" priority="2" dxfId="0" stopIfTrue="1">
      <formula>G7&lt;7</formula>
    </cfRule>
  </conditionalFormatting>
  <conditionalFormatting sqref="I26">
    <cfRule type="expression" priority="3" dxfId="0" stopIfTrue="1">
      <formula>G7&lt;7</formula>
    </cfRule>
  </conditionalFormatting>
  <conditionalFormatting sqref="I16">
    <cfRule type="expression" priority="4" dxfId="0" stopIfTrue="1">
      <formula>G7&lt;7</formula>
    </cfRule>
  </conditionalFormatting>
  <conditionalFormatting sqref="I25">
    <cfRule type="expression" priority="5" dxfId="0" stopIfTrue="1">
      <formula>G7&lt;7</formula>
    </cfRule>
  </conditionalFormatting>
  <conditionalFormatting sqref="H46:H50 H36:H40">
    <cfRule type="cellIs" priority="6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P207"/>
  <sheetViews>
    <sheetView showGridLines="0" zoomScale="105" zoomScaleNormal="105" zoomScalePageLayoutView="0" workbookViewId="0" topLeftCell="A22">
      <selection activeCell="G215" sqref="G215"/>
    </sheetView>
  </sheetViews>
  <sheetFormatPr defaultColWidth="9.625" defaultRowHeight="12.75"/>
  <cols>
    <col min="1" max="1" width="3.75390625" style="1" customWidth="1"/>
    <col min="2" max="2" width="11.00390625" style="1" customWidth="1"/>
    <col min="3" max="3" width="6.75390625" style="1" customWidth="1"/>
    <col min="4" max="4" width="8.625" style="1" customWidth="1"/>
    <col min="5" max="5" width="7.625" style="1" customWidth="1"/>
    <col min="6" max="6" width="12.00390625" style="1" customWidth="1"/>
    <col min="7" max="7" width="11.375" style="1" customWidth="1"/>
    <col min="8" max="8" width="7.625" style="1" customWidth="1"/>
    <col min="9" max="9" width="9.625" style="1" customWidth="1"/>
    <col min="10" max="16384" width="9.625" style="1" customWidth="1"/>
  </cols>
  <sheetData>
    <row r="1" spans="1:9" ht="14.25" thickBot="1" thickTop="1">
      <c r="A1" s="24" t="s">
        <v>74</v>
      </c>
      <c r="B1" s="31"/>
      <c r="C1" s="32"/>
      <c r="D1" s="32"/>
      <c r="E1" s="32"/>
      <c r="F1" s="32"/>
      <c r="G1" s="32"/>
      <c r="H1" s="32"/>
      <c r="I1" s="33"/>
    </row>
    <row r="2" spans="1:9" ht="12.75">
      <c r="A2" s="34"/>
      <c r="B2" s="13"/>
      <c r="C2" s="6"/>
      <c r="D2" s="6"/>
      <c r="E2" s="6"/>
      <c r="F2" s="6"/>
      <c r="G2" s="4"/>
      <c r="H2" s="4"/>
      <c r="I2" s="66"/>
    </row>
    <row r="3" spans="1:9" ht="12.75">
      <c r="A3" s="34"/>
      <c r="B3" s="13"/>
      <c r="C3" s="6"/>
      <c r="D3" s="6"/>
      <c r="E3" s="516" t="s">
        <v>236</v>
      </c>
      <c r="F3" s="586" t="str">
        <f>'Excerpt WDH'!C5</f>
        <v>NYBO</v>
      </c>
      <c r="G3" s="587" t="str">
        <f>'Excerpt WDH'!E5</f>
        <v>2001</v>
      </c>
      <c r="H3" s="4"/>
      <c r="I3" s="3">
        <f>'Excerpt WDH'!I9</f>
        <v>4</v>
      </c>
    </row>
    <row r="4" spans="1:11" ht="15.75" thickBot="1">
      <c r="A4" s="848" t="str">
        <f>IF($I187=4," ","INPUT is NOT as PERCENTAGES, so DO NOT USE THIS WORKSHEET !!")</f>
        <v> </v>
      </c>
      <c r="B4" s="849"/>
      <c r="C4" s="849"/>
      <c r="D4" s="849"/>
      <c r="E4" s="849"/>
      <c r="F4" s="849"/>
      <c r="G4" s="849"/>
      <c r="H4" s="849"/>
      <c r="I4" s="849"/>
      <c r="J4" s="86"/>
      <c r="K4" s="42"/>
    </row>
    <row r="5" spans="1:10" ht="13.5" thickBot="1">
      <c r="A5" s="34"/>
      <c r="B5" s="850" t="s">
        <v>139</v>
      </c>
      <c r="C5" s="851"/>
      <c r="D5" s="851"/>
      <c r="E5" s="851"/>
      <c r="F5" s="851"/>
      <c r="G5" s="851"/>
      <c r="H5" s="852"/>
      <c r="I5" s="99"/>
      <c r="J5" s="86"/>
    </row>
    <row r="6" spans="1:11" ht="13.5" thickBot="1">
      <c r="A6" s="189"/>
      <c r="B6" s="30"/>
      <c r="C6" s="30"/>
      <c r="D6" s="30"/>
      <c r="E6" s="30"/>
      <c r="F6" s="190"/>
      <c r="G6" s="191"/>
      <c r="H6" s="192"/>
      <c r="I6" s="193"/>
      <c r="J6" s="287"/>
      <c r="K6"/>
    </row>
    <row r="7" spans="1:11" ht="14.25" thickBot="1" thickTop="1">
      <c r="A7" s="238"/>
      <c r="B7" s="239" t="s">
        <v>43</v>
      </c>
      <c r="C7" s="240"/>
      <c r="D7" s="241"/>
      <c r="E7" s="242"/>
      <c r="F7" s="243"/>
      <c r="G7" s="422">
        <f>'Excerpt WDH'!E31-'Excerpt WDH'!B31+1</f>
        <v>3</v>
      </c>
      <c r="H7" s="289"/>
      <c r="I7" s="290"/>
      <c r="J7" s="287"/>
      <c r="K7"/>
    </row>
    <row r="8" spans="1:11" ht="13.5" thickBot="1">
      <c r="A8" s="34"/>
      <c r="B8" s="198" t="s">
        <v>124</v>
      </c>
      <c r="C8" s="228"/>
      <c r="D8" s="229"/>
      <c r="E8" s="6"/>
      <c r="F8" s="170"/>
      <c r="G8" s="423"/>
      <c r="H8" s="67"/>
      <c r="I8" s="288"/>
      <c r="J8" s="287"/>
      <c r="K8"/>
    </row>
    <row r="9" spans="1:11" ht="16.5">
      <c r="A9" s="34"/>
      <c r="B9" s="461" t="s">
        <v>62</v>
      </c>
      <c r="C9" s="6"/>
      <c r="D9" s="6"/>
      <c r="E9" s="6"/>
      <c r="F9" s="170"/>
      <c r="G9" s="424">
        <f>SUM(B100,G10)</f>
        <v>100</v>
      </c>
      <c r="H9" s="188" t="str">
        <f>IF(ABS(('Excerpt WDH'!G22)/G9-1)&lt;0.05," ","cf.Total number !")</f>
        <v> </v>
      </c>
      <c r="I9" s="288"/>
      <c r="J9" s="287"/>
      <c r="K9"/>
    </row>
    <row r="10" spans="1:11" ht="13.5" thickBot="1">
      <c r="A10" s="34"/>
      <c r="B10" s="200" t="s">
        <v>57</v>
      </c>
      <c r="C10" s="147"/>
      <c r="D10" s="148"/>
      <c r="E10" s="6"/>
      <c r="F10" s="201"/>
      <c r="G10" s="425">
        <f>SUM(A132:A144)</f>
        <v>100</v>
      </c>
      <c r="H10" s="188"/>
      <c r="I10" s="87"/>
      <c r="J10" s="287"/>
      <c r="K10"/>
    </row>
    <row r="11" spans="1:11" ht="13.5" thickBot="1">
      <c r="A11" s="34"/>
      <c r="B11" s="198" t="s">
        <v>125</v>
      </c>
      <c r="C11" s="228"/>
      <c r="D11" s="229"/>
      <c r="E11" s="6"/>
      <c r="F11" s="4"/>
      <c r="G11" s="426"/>
      <c r="H11" s="188"/>
      <c r="I11" s="87"/>
      <c r="J11" s="287"/>
      <c r="K11"/>
    </row>
    <row r="12" spans="1:11" ht="16.5">
      <c r="A12" s="34"/>
      <c r="B12" s="461" t="s">
        <v>63</v>
      </c>
      <c r="C12" s="6"/>
      <c r="D12" s="6"/>
      <c r="E12" s="6"/>
      <c r="F12" s="170"/>
      <c r="G12" s="424">
        <f>SUM(B123,G13)</f>
        <v>100</v>
      </c>
      <c r="H12" s="188" t="str">
        <f>IF(ABS(('Excerpt WDH'!G25)/G12-1)&lt;0.05," ","cf.Total number !")</f>
        <v> </v>
      </c>
      <c r="I12" s="288"/>
      <c r="J12" s="287"/>
      <c r="K12"/>
    </row>
    <row r="13" spans="1:11" ht="13.5" thickBot="1">
      <c r="A13" s="34"/>
      <c r="B13" s="40" t="s">
        <v>57</v>
      </c>
      <c r="C13" s="41"/>
      <c r="D13" s="81"/>
      <c r="E13" s="37"/>
      <c r="F13" s="124"/>
      <c r="G13" s="427">
        <f>SUM(A160:A172)</f>
        <v>100</v>
      </c>
      <c r="H13" s="188"/>
      <c r="I13" s="87"/>
      <c r="J13" s="287"/>
      <c r="K13"/>
    </row>
    <row r="14" spans="1:11" ht="12.75">
      <c r="A14" s="121"/>
      <c r="B14" s="12"/>
      <c r="C14" s="12"/>
      <c r="D14" s="12"/>
      <c r="E14" s="12"/>
      <c r="F14" s="230"/>
      <c r="G14" s="165"/>
      <c r="H14" s="188"/>
      <c r="I14" s="87"/>
      <c r="J14" s="287"/>
      <c r="K14"/>
    </row>
    <row r="15" spans="1:11" ht="12.75">
      <c r="A15" s="121"/>
      <c r="B15" s="12"/>
      <c r="C15" s="12"/>
      <c r="D15" s="12"/>
      <c r="E15" s="12"/>
      <c r="F15" s="230" t="s">
        <v>140</v>
      </c>
      <c r="G15" s="361">
        <f>'Excerpt WDH'!G28</f>
        <v>0</v>
      </c>
      <c r="H15" s="188"/>
      <c r="I15" s="87"/>
      <c r="J15" s="287"/>
      <c r="K15"/>
    </row>
    <row r="16" spans="1:11" ht="13.5" thickBot="1">
      <c r="A16" s="121"/>
      <c r="B16" s="12"/>
      <c r="C16" s="12"/>
      <c r="D16" s="12"/>
      <c r="E16" s="12"/>
      <c r="F16" s="230"/>
      <c r="G16" s="165"/>
      <c r="H16" s="188"/>
      <c r="I16" s="87"/>
      <c r="J16" s="287"/>
      <c r="K16"/>
    </row>
    <row r="17" spans="1:11" ht="12.75">
      <c r="A17" s="85" t="s">
        <v>45</v>
      </c>
      <c r="B17" s="48"/>
      <c r="C17" s="35" t="s">
        <v>51</v>
      </c>
      <c r="D17" s="48"/>
      <c r="E17" s="107"/>
      <c r="F17" s="105"/>
      <c r="G17" s="178"/>
      <c r="H17" s="179"/>
      <c r="I17" s="180"/>
      <c r="J17" s="287"/>
      <c r="K17"/>
    </row>
    <row r="18" spans="1:11" ht="12.75">
      <c r="A18" s="38" t="s">
        <v>60</v>
      </c>
      <c r="B18" s="68"/>
      <c r="C18" s="449" t="str">
        <f>IF('Excerpt WDH'!$C$32=1,"AFTER SCALE REVERSION !"," ")</f>
        <v> </v>
      </c>
      <c r="D18" s="6"/>
      <c r="E18" s="6"/>
      <c r="F18" s="6"/>
      <c r="G18" s="103" t="s">
        <v>3</v>
      </c>
      <c r="H18" s="96"/>
      <c r="I18" s="104" t="s">
        <v>5</v>
      </c>
      <c r="J18" s="287"/>
      <c r="K18"/>
    </row>
    <row r="19" spans="1:11" ht="13.5" thickBot="1">
      <c r="A19" s="34"/>
      <c r="B19" s="20" t="str">
        <f>IF(AND(ABS(('Excerpt WDH'!$G$22-'Excerpt WDH'!G$23)/$G$10-1)&lt;0.05,SUM($B$132:$B$144)=$G$10)," ","THE  OUTPUT  IS  UNRELIABLE   !!!")</f>
        <v> </v>
      </c>
      <c r="C19" s="67"/>
      <c r="D19" s="47"/>
      <c r="E19" s="47"/>
      <c r="F19" s="6"/>
      <c r="G19" s="50" t="s">
        <v>4</v>
      </c>
      <c r="H19" s="6"/>
      <c r="I19" s="51" t="s">
        <v>4</v>
      </c>
      <c r="J19" s="287"/>
      <c r="K19"/>
    </row>
    <row r="20" spans="1:11" ht="13.5" thickTop="1">
      <c r="A20" s="52"/>
      <c r="B20" s="53"/>
      <c r="C20" s="53"/>
      <c r="D20" s="53"/>
      <c r="E20" s="53"/>
      <c r="F20" s="54" t="s">
        <v>99</v>
      </c>
      <c r="G20" s="23">
        <f>IF($G$10=0,"     ",G146)</f>
        <v>2.2</v>
      </c>
      <c r="H20" s="12"/>
      <c r="I20" s="28">
        <f>IF($G$10=0,"     ",I146)</f>
        <v>6</v>
      </c>
      <c r="J20" s="287"/>
      <c r="K20"/>
    </row>
    <row r="21" spans="1:11" ht="12.75">
      <c r="A21" s="52"/>
      <c r="B21" s="53"/>
      <c r="C21" s="53"/>
      <c r="D21" s="53"/>
      <c r="E21" s="53"/>
      <c r="F21" s="76" t="s">
        <v>100</v>
      </c>
      <c r="G21" s="22">
        <f>IF($G$10=0,"      ",G150/(SQRT(G10)))</f>
        <v>0.08761716542303613</v>
      </c>
      <c r="H21" s="237"/>
      <c r="I21" s="29">
        <f>IF($G$10=0,"      ",I150/(SQRT(G10)))</f>
        <v>0.43808582711518057</v>
      </c>
      <c r="J21" s="287"/>
      <c r="K21"/>
    </row>
    <row r="22" spans="1:11" ht="12.75">
      <c r="A22" s="52"/>
      <c r="B22" s="53"/>
      <c r="C22" s="53"/>
      <c r="D22" s="53"/>
      <c r="E22" s="53"/>
      <c r="F22" s="76" t="s">
        <v>31</v>
      </c>
      <c r="G22" s="23">
        <f>IF($G$10=0,"     ",G148)</f>
        <v>2.3738514603821974</v>
      </c>
      <c r="H22" s="12"/>
      <c r="I22" s="28">
        <f>IF($G$10=0,"     ",I148)</f>
        <v>6.869257301910985</v>
      </c>
      <c r="J22" s="287"/>
      <c r="K22"/>
    </row>
    <row r="23" spans="1:11" ht="12.75">
      <c r="A23" s="52"/>
      <c r="B23" s="53"/>
      <c r="C23" s="53"/>
      <c r="D23" s="53"/>
      <c r="E23" s="53"/>
      <c r="F23" s="54" t="s">
        <v>30</v>
      </c>
      <c r="G23" s="23">
        <f>IF($G$10=0,"     ",G147)</f>
        <v>2.026148539617803</v>
      </c>
      <c r="H23" s="12"/>
      <c r="I23" s="28">
        <f>IF($G$10=0,"     ",I147)</f>
        <v>5.130742698089015</v>
      </c>
      <c r="J23" s="287"/>
      <c r="K23"/>
    </row>
    <row r="24" spans="1:11" ht="12.75">
      <c r="A24" s="52"/>
      <c r="B24" s="53"/>
      <c r="C24" s="53"/>
      <c r="D24" s="53"/>
      <c r="E24" s="53"/>
      <c r="F24" s="54" t="s">
        <v>27</v>
      </c>
      <c r="G24" s="23">
        <f>IF($G$10=0,"     ",G149)</f>
        <v>0.7676767676767676</v>
      </c>
      <c r="H24" s="428">
        <f>H149</f>
        <v>99</v>
      </c>
      <c r="I24" s="28">
        <f>IF($G$10=0,"     ",I149)</f>
        <v>19.19191919191919</v>
      </c>
      <c r="J24" s="287"/>
      <c r="K24"/>
    </row>
    <row r="25" spans="1:11" ht="13.5" thickBot="1">
      <c r="A25" s="55"/>
      <c r="B25" s="56"/>
      <c r="C25" s="56"/>
      <c r="D25" s="56"/>
      <c r="E25" s="56"/>
      <c r="F25" s="57" t="s">
        <v>28</v>
      </c>
      <c r="G25" s="23">
        <f>IF($G$10=0,"     ",G150)</f>
        <v>0.8761716542303613</v>
      </c>
      <c r="H25" s="116" t="s">
        <v>41</v>
      </c>
      <c r="I25" s="28">
        <f>IF($G$10=0,"     ",I150)</f>
        <v>4.380858271151806</v>
      </c>
      <c r="J25" s="287"/>
      <c r="K25"/>
    </row>
    <row r="26" spans="1:11" ht="12.75">
      <c r="A26" s="85" t="s">
        <v>45</v>
      </c>
      <c r="B26" s="48"/>
      <c r="C26" s="35" t="s">
        <v>51</v>
      </c>
      <c r="D26" s="48"/>
      <c r="E26" s="107"/>
      <c r="F26" s="105"/>
      <c r="G26" s="178"/>
      <c r="H26" s="179"/>
      <c r="I26" s="180"/>
      <c r="J26" s="287"/>
      <c r="K26"/>
    </row>
    <row r="27" spans="1:11" ht="12.75">
      <c r="A27" s="38" t="s">
        <v>61</v>
      </c>
      <c r="B27" s="6"/>
      <c r="C27" s="449" t="str">
        <f>IF('Excerpt WDH'!$C$32=1,"AFTER SCALE REVERSION !"," ")</f>
        <v> </v>
      </c>
      <c r="D27" s="6"/>
      <c r="E27" s="6"/>
      <c r="F27" s="6"/>
      <c r="G27" s="103" t="s">
        <v>3</v>
      </c>
      <c r="H27" s="96"/>
      <c r="I27" s="104" t="s">
        <v>5</v>
      </c>
      <c r="J27" s="287"/>
      <c r="K27"/>
    </row>
    <row r="28" spans="1:11" ht="13.5" thickBot="1">
      <c r="A28" s="34"/>
      <c r="B28" s="20" t="str">
        <f>IF(AND(ABS(('Excerpt WDH'!$G$25-'Excerpt WDH'!$G$26)/$G$13-1)&lt;0.05,ABS((SUM($B$160:$B$172))/$G$13-1)&lt;0.05)," ","THE  OUTPUT  IS  UNRELIABLE   !!!")</f>
        <v> </v>
      </c>
      <c r="C28" s="67"/>
      <c r="D28" s="47"/>
      <c r="E28" s="47"/>
      <c r="F28" s="6"/>
      <c r="G28" s="50" t="s">
        <v>4</v>
      </c>
      <c r="H28" s="6"/>
      <c r="I28" s="51" t="s">
        <v>4</v>
      </c>
      <c r="J28" s="287"/>
      <c r="K28"/>
    </row>
    <row r="29" spans="1:11" ht="13.5" thickTop="1">
      <c r="A29" s="52"/>
      <c r="B29" s="53"/>
      <c r="C29" s="53"/>
      <c r="D29" s="53"/>
      <c r="E29" s="53"/>
      <c r="F29" s="54" t="s">
        <v>99</v>
      </c>
      <c r="G29" s="23">
        <f>IF($G$13=0,"     ",G174)</f>
        <v>2.4</v>
      </c>
      <c r="H29" s="12"/>
      <c r="I29" s="28">
        <f>IF($G$13=0,"     ",I174)</f>
        <v>7</v>
      </c>
      <c r="J29" s="287"/>
      <c r="K29"/>
    </row>
    <row r="30" spans="1:11" ht="12.75">
      <c r="A30" s="52"/>
      <c r="B30" s="53"/>
      <c r="C30" s="53"/>
      <c r="D30" s="53"/>
      <c r="E30" s="53"/>
      <c r="F30" s="76" t="s">
        <v>100</v>
      </c>
      <c r="G30" s="22">
        <f>IF($G$13=0,"      ",G178/(SQRT(G13)))</f>
        <v>0.08040302522073697</v>
      </c>
      <c r="H30" s="237"/>
      <c r="I30" s="29">
        <f>IF($G$13=0,"      ",I178/(SQRT(G13)))</f>
        <v>0.40201512610368484</v>
      </c>
      <c r="J30" s="287"/>
      <c r="K30"/>
    </row>
    <row r="31" spans="1:11" ht="12.75">
      <c r="A31" s="52"/>
      <c r="B31" s="53"/>
      <c r="C31" s="53"/>
      <c r="D31" s="53"/>
      <c r="E31" s="53"/>
      <c r="F31" s="54" t="s">
        <v>31</v>
      </c>
      <c r="G31" s="23">
        <f>IF($G$13=0,"     ",G176)</f>
        <v>2.5595370414722027</v>
      </c>
      <c r="H31" s="12"/>
      <c r="I31" s="28">
        <f>IF($G$13=0,"     ",I176)</f>
        <v>7.797685207361013</v>
      </c>
      <c r="J31" s="287"/>
      <c r="K31"/>
    </row>
    <row r="32" spans="1:11" ht="12.75">
      <c r="A32" s="52"/>
      <c r="B32" s="53"/>
      <c r="C32" s="53"/>
      <c r="D32" s="53"/>
      <c r="E32" s="53"/>
      <c r="F32" s="54" t="s">
        <v>30</v>
      </c>
      <c r="G32" s="23">
        <f>IF($G$13=0,"     ",G175)</f>
        <v>2.240462958527797</v>
      </c>
      <c r="H32" s="12"/>
      <c r="I32" s="28">
        <f>IF($G$13=0,"     ",I175)</f>
        <v>6.202314792638987</v>
      </c>
      <c r="J32" s="287"/>
      <c r="K32"/>
    </row>
    <row r="33" spans="1:11" ht="12.75">
      <c r="A33" s="52"/>
      <c r="B33" s="53"/>
      <c r="C33" s="53"/>
      <c r="D33" s="53"/>
      <c r="E33" s="53"/>
      <c r="F33" s="54" t="s">
        <v>27</v>
      </c>
      <c r="G33" s="23">
        <f>IF($G$13=0,"     ",G177)</f>
        <v>0.6464646464646465</v>
      </c>
      <c r="H33" s="428">
        <f>H177</f>
        <v>99</v>
      </c>
      <c r="I33" s="28">
        <f>IF($G$13=0,"     ",I177)</f>
        <v>16.161616161616163</v>
      </c>
      <c r="J33" s="287"/>
      <c r="K33"/>
    </row>
    <row r="34" spans="1:11" ht="13.5" thickBot="1">
      <c r="A34" s="55"/>
      <c r="B34" s="56"/>
      <c r="C34" s="56"/>
      <c r="D34" s="56"/>
      <c r="E34" s="56"/>
      <c r="F34" s="57" t="s">
        <v>28</v>
      </c>
      <c r="G34" s="23">
        <f>IF($G$13=0,"     ",G178)</f>
        <v>0.8040302522073697</v>
      </c>
      <c r="H34" s="116" t="s">
        <v>41</v>
      </c>
      <c r="I34" s="28">
        <f>IF($G$13=0,"     ",I178)</f>
        <v>4.020151261036848</v>
      </c>
      <c r="J34" s="287"/>
      <c r="K34"/>
    </row>
    <row r="35" spans="1:11" ht="13.5" thickBot="1">
      <c r="A35" s="153"/>
      <c r="B35" s="154"/>
      <c r="C35" s="154"/>
      <c r="D35" s="154"/>
      <c r="E35" s="154"/>
      <c r="F35" s="155"/>
      <c r="G35" s="156"/>
      <c r="H35" s="159"/>
      <c r="I35" s="157"/>
      <c r="J35" s="287"/>
      <c r="K35"/>
    </row>
    <row r="36" spans="1:11" ht="12.75">
      <c r="A36" s="218" t="s">
        <v>82</v>
      </c>
      <c r="B36" s="133"/>
      <c r="C36" s="133"/>
      <c r="D36" s="133"/>
      <c r="E36" s="133" t="s">
        <v>194</v>
      </c>
      <c r="F36" s="73"/>
      <c r="G36" s="203"/>
      <c r="H36" s="115"/>
      <c r="I36" s="204"/>
      <c r="J36" s="287"/>
      <c r="K36"/>
    </row>
    <row r="37" spans="1:11" ht="12.75">
      <c r="A37" s="121"/>
      <c r="B37" s="133"/>
      <c r="C37" s="133"/>
      <c r="D37" s="133"/>
      <c r="E37" s="449" t="str">
        <f>IF('Excerpt WDH'!C32=1,"BUT AFTER SCALE REVERSION !"," ")</f>
        <v> </v>
      </c>
      <c r="F37" s="73"/>
      <c r="G37" s="203"/>
      <c r="H37" s="115"/>
      <c r="I37" s="204"/>
      <c r="J37" s="287"/>
      <c r="K37"/>
    </row>
    <row r="38" spans="1:11" ht="12.75">
      <c r="A38" s="121"/>
      <c r="B38" s="133"/>
      <c r="C38" s="133"/>
      <c r="D38" s="133"/>
      <c r="E38" s="133"/>
      <c r="F38" s="73"/>
      <c r="G38" s="203"/>
      <c r="H38" s="115"/>
      <c r="I38" s="204"/>
      <c r="J38" s="287"/>
      <c r="K38"/>
    </row>
    <row r="39" spans="1:11" ht="13.5" thickBot="1">
      <c r="A39" s="226" t="s">
        <v>195</v>
      </c>
      <c r="B39" s="133"/>
      <c r="C39" s="133"/>
      <c r="D39" s="133"/>
      <c r="E39" s="227" t="s">
        <v>197</v>
      </c>
      <c r="F39" s="73"/>
      <c r="G39" s="252" t="s">
        <v>142</v>
      </c>
      <c r="H39" s="22">
        <f>G20-G29</f>
        <v>-0.19999999999999973</v>
      </c>
      <c r="I39" s="204"/>
      <c r="J39" s="287"/>
      <c r="K39"/>
    </row>
    <row r="40" spans="1:11" ht="13.5" thickBot="1">
      <c r="A40" s="121" t="s">
        <v>143</v>
      </c>
      <c r="B40" s="133"/>
      <c r="C40" s="451">
        <f>G146</f>
        <v>2.2</v>
      </c>
      <c r="D40" s="133"/>
      <c r="E40" s="133" t="s">
        <v>66</v>
      </c>
      <c r="F40" s="73"/>
      <c r="G40" s="203"/>
      <c r="H40" s="22">
        <f>H$39+TINV(0.05,($H$24+$H$33))*F$184</f>
        <v>0.034507734023560444</v>
      </c>
      <c r="I40" s="204"/>
      <c r="J40" s="287"/>
      <c r="K40"/>
    </row>
    <row r="41" spans="1:11" ht="13.5" thickBot="1">
      <c r="A41" s="121" t="s">
        <v>144</v>
      </c>
      <c r="B41" s="133"/>
      <c r="C41" s="451">
        <f>G174</f>
        <v>2.4</v>
      </c>
      <c r="D41" s="133"/>
      <c r="E41" s="133" t="s">
        <v>65</v>
      </c>
      <c r="F41" s="73"/>
      <c r="G41" s="203"/>
      <c r="H41" s="22">
        <f>H$39-TINV(0.05,($H$24+$H$33))*F$184</f>
        <v>-0.4345077340235599</v>
      </c>
      <c r="I41" s="204"/>
      <c r="J41" s="287"/>
      <c r="K41"/>
    </row>
    <row r="42" spans="1:11" ht="12.75">
      <c r="A42" s="121"/>
      <c r="B42" s="133"/>
      <c r="C42" s="74"/>
      <c r="D42" s="133"/>
      <c r="E42" s="133" t="s">
        <v>196</v>
      </c>
      <c r="F42" s="73"/>
      <c r="G42" s="203"/>
      <c r="H42" s="22">
        <f>H39/F184</f>
        <v>-1.6818357317441621</v>
      </c>
      <c r="I42" s="204"/>
      <c r="J42" s="287"/>
      <c r="K42"/>
    </row>
    <row r="43" spans="1:11" ht="12.75">
      <c r="A43" s="568" t="str">
        <f>IF(G7&gt;6,"","Linear Transformation is not recommended")</f>
        <v>Linear Transformation is not recommended</v>
      </c>
      <c r="B43" s="574"/>
      <c r="C43" s="45"/>
      <c r="D43" s="133"/>
      <c r="E43" s="133" t="s">
        <v>168</v>
      </c>
      <c r="F43" s="73"/>
      <c r="G43" s="203"/>
      <c r="H43" s="429">
        <f>H53</f>
        <v>198</v>
      </c>
      <c r="I43" s="204"/>
      <c r="J43" s="287"/>
      <c r="K43"/>
    </row>
    <row r="44" spans="1:11" ht="12.75">
      <c r="A44" s="568" t="str">
        <f>IF(G7&gt;6,"","in case of scales with &lt; 7 possible ratings. ")</f>
        <v>in case of scales with &lt; 7 possible ratings. </v>
      </c>
      <c r="B44" s="574"/>
      <c r="C44" s="45"/>
      <c r="D44" s="133"/>
      <c r="E44" s="133" t="s">
        <v>67</v>
      </c>
      <c r="F44" s="73"/>
      <c r="G44" s="803">
        <f>IF(TDIST(ABS($H42),$H43,2)&lt;0.005,TDIST(ABS($H42),$H43,2),"")</f>
      </c>
      <c r="H44" s="450">
        <f>IF(TDIST(ABS($H42),$H43,2)&lt;0.005,"",TDIST(ABS($H42),$H43,2))</f>
        <v>0.094177175579222</v>
      </c>
      <c r="I44" s="204"/>
      <c r="J44" s="287"/>
      <c r="K44"/>
    </row>
    <row r="45" spans="1:11" ht="13.5" thickBot="1">
      <c r="A45" s="121"/>
      <c r="B45" s="133"/>
      <c r="C45" s="452"/>
      <c r="D45" s="133"/>
      <c r="E45" s="133"/>
      <c r="F45" s="73"/>
      <c r="G45" s="300"/>
      <c r="H45" s="301"/>
      <c r="I45" s="204"/>
      <c r="J45" s="287"/>
      <c r="K45"/>
    </row>
    <row r="46" spans="1:11" ht="13.5" thickBot="1">
      <c r="A46" s="153"/>
      <c r="B46" s="154"/>
      <c r="C46" s="453"/>
      <c r="D46" s="154"/>
      <c r="E46" s="154"/>
      <c r="F46" s="155"/>
      <c r="G46" s="156"/>
      <c r="H46" s="159"/>
      <c r="I46" s="157"/>
      <c r="J46" s="287"/>
      <c r="K46"/>
    </row>
    <row r="47" spans="1:11" ht="12.75">
      <c r="A47" s="218" t="s">
        <v>82</v>
      </c>
      <c r="B47" s="133"/>
      <c r="C47" s="133"/>
      <c r="D47" s="133"/>
      <c r="E47" s="133" t="s">
        <v>64</v>
      </c>
      <c r="F47" s="73"/>
      <c r="G47" s="203"/>
      <c r="H47" s="115"/>
      <c r="I47" s="204"/>
      <c r="J47" s="287"/>
      <c r="K47"/>
    </row>
    <row r="48" spans="1:11" ht="12.75">
      <c r="A48" s="121"/>
      <c r="B48" s="133"/>
      <c r="C48" s="133"/>
      <c r="D48" s="133"/>
      <c r="E48" s="449" t="str">
        <f>IF('Excerpt WDH'!C32=1,"AND AFTER SCALE REVERSION !"," ")</f>
        <v> </v>
      </c>
      <c r="F48" s="73"/>
      <c r="G48" s="203"/>
      <c r="H48" s="115"/>
      <c r="I48" s="204"/>
      <c r="J48" s="287"/>
      <c r="K48"/>
    </row>
    <row r="49" spans="1:11" ht="13.5" thickBot="1">
      <c r="A49" s="576" t="s">
        <v>200</v>
      </c>
      <c r="B49" s="133"/>
      <c r="C49" s="133"/>
      <c r="D49" s="133"/>
      <c r="E49" s="227" t="s">
        <v>78</v>
      </c>
      <c r="F49" s="73"/>
      <c r="G49" s="252" t="s">
        <v>142</v>
      </c>
      <c r="H49" s="22">
        <f>I20-I29</f>
        <v>-1</v>
      </c>
      <c r="I49" s="204"/>
      <c r="J49" s="287"/>
      <c r="K49"/>
    </row>
    <row r="50" spans="1:11" ht="13.5" thickBot="1">
      <c r="A50" s="117" t="s">
        <v>143</v>
      </c>
      <c r="B50" s="133"/>
      <c r="C50" s="451">
        <f>I20</f>
        <v>6</v>
      </c>
      <c r="D50" s="133"/>
      <c r="E50" s="133" t="s">
        <v>66</v>
      </c>
      <c r="F50" s="73"/>
      <c r="G50" s="203"/>
      <c r="H50" s="22">
        <f>H$49+TINV(0.05,($H$24+$H$33))*F$185</f>
        <v>0.1725386701178011</v>
      </c>
      <c r="I50" s="204"/>
      <c r="J50" s="287"/>
      <c r="K50"/>
    </row>
    <row r="51" spans="1:11" ht="13.5" thickBot="1">
      <c r="A51" s="117" t="s">
        <v>144</v>
      </c>
      <c r="B51" s="133"/>
      <c r="C51" s="451">
        <f>I29</f>
        <v>7</v>
      </c>
      <c r="D51" s="133"/>
      <c r="E51" s="133" t="s">
        <v>65</v>
      </c>
      <c r="F51" s="73"/>
      <c r="G51" s="203"/>
      <c r="H51" s="22">
        <f>H$49-TINV(0.05,($H$24+$H$33))*F$185</f>
        <v>-2.172538670117801</v>
      </c>
      <c r="I51" s="204"/>
      <c r="J51" s="287"/>
      <c r="K51"/>
    </row>
    <row r="52" spans="1:11" ht="12.75">
      <c r="A52" s="577"/>
      <c r="E52" s="133" t="s">
        <v>169</v>
      </c>
      <c r="F52" s="73"/>
      <c r="G52" s="203"/>
      <c r="H52" s="22">
        <f>H49/F185</f>
        <v>-1.6818357317441641</v>
      </c>
      <c r="I52" s="204"/>
      <c r="J52" s="287"/>
      <c r="K52"/>
    </row>
    <row r="53" spans="1:11" ht="12.75">
      <c r="A53" s="578" t="str">
        <f>IF(G7&gt;6,"","Linear Transformation is not recommended")</f>
        <v>Linear Transformation is not recommended</v>
      </c>
      <c r="B53" s="574"/>
      <c r="C53" s="45"/>
      <c r="D53" s="133"/>
      <c r="E53" s="133" t="s">
        <v>168</v>
      </c>
      <c r="F53" s="73"/>
      <c r="G53" s="203"/>
      <c r="H53" s="429">
        <f>H24+H33</f>
        <v>198</v>
      </c>
      <c r="I53" s="204"/>
      <c r="J53" s="287"/>
      <c r="K53"/>
    </row>
    <row r="54" spans="1:11" ht="13.5" thickBot="1">
      <c r="A54" s="578" t="str">
        <f>IF(G7&gt;6,"","in case of scales with &lt; 7 possible ratings. ")</f>
        <v>in case of scales with &lt; 7 possible ratings. </v>
      </c>
      <c r="B54" s="574"/>
      <c r="C54" s="45"/>
      <c r="D54" s="133"/>
      <c r="E54" s="133" t="s">
        <v>67</v>
      </c>
      <c r="F54" s="73"/>
      <c r="G54" s="804">
        <f>IF(TDIST(ABS($H52),$H53,2)&lt;0.005,TDIST(ABS($H52),$H53,2),"")</f>
      </c>
      <c r="H54" s="798">
        <f>IF(TDIST(ABS($H52),$H53,2)&lt;0.005,"",TDIST(ABS($H52),$H53,2))</f>
        <v>0.094177175579222</v>
      </c>
      <c r="I54" s="204"/>
      <c r="J54" s="287"/>
      <c r="K54"/>
    </row>
    <row r="55" spans="1:11" ht="12.75">
      <c r="A55" s="131"/>
      <c r="B55" s="214"/>
      <c r="C55" s="214"/>
      <c r="D55" s="214"/>
      <c r="E55" s="214"/>
      <c r="F55" s="215"/>
      <c r="G55" s="583"/>
      <c r="H55" s="584"/>
      <c r="I55" s="585"/>
      <c r="J55" s="287"/>
      <c r="K55"/>
    </row>
    <row r="56" spans="1:11" ht="12.75">
      <c r="A56" s="121"/>
      <c r="B56" s="133"/>
      <c r="C56" s="2"/>
      <c r="D56" s="133"/>
      <c r="E56" s="133" t="s">
        <v>114</v>
      </c>
      <c r="F56" s="73"/>
      <c r="G56" s="300"/>
      <c r="H56" s="285">
        <f>H49/F186</f>
        <v>-0.23784749015162754</v>
      </c>
      <c r="I56" s="204"/>
      <c r="J56" s="287"/>
      <c r="K56"/>
    </row>
    <row r="57" spans="1:11" ht="12.75">
      <c r="A57" s="121"/>
      <c r="B57" s="133"/>
      <c r="C57" s="133"/>
      <c r="D57" s="133"/>
      <c r="E57" s="133"/>
      <c r="F57" s="73"/>
      <c r="G57" s="300"/>
      <c r="H57" s="301"/>
      <c r="I57" s="204"/>
      <c r="J57" s="287"/>
      <c r="K57"/>
    </row>
    <row r="58" spans="1:11" ht="12.75">
      <c r="A58" s="121"/>
      <c r="B58" s="133"/>
      <c r="C58" s="2"/>
      <c r="D58" s="133"/>
      <c r="E58" s="133" t="s">
        <v>112</v>
      </c>
      <c r="F58" s="73"/>
      <c r="G58" s="300"/>
      <c r="H58" s="304">
        <f>F190/F192</f>
        <v>0.014084507042253521</v>
      </c>
      <c r="I58" s="204"/>
      <c r="J58" s="287"/>
      <c r="K58"/>
    </row>
    <row r="59" spans="1:11" ht="13.5" thickBot="1">
      <c r="A59" s="517"/>
      <c r="B59" s="518"/>
      <c r="C59" s="518"/>
      <c r="D59" s="518"/>
      <c r="E59" s="518"/>
      <c r="F59" s="518"/>
      <c r="G59" s="518"/>
      <c r="H59" s="518"/>
      <c r="I59" s="519"/>
      <c r="J59" s="287"/>
      <c r="K59"/>
    </row>
    <row r="60" spans="1:11" s="11" customFormat="1" ht="13.5" thickTop="1">
      <c r="A60" s="121"/>
      <c r="B60" s="133"/>
      <c r="D60" s="133"/>
      <c r="E60" s="782" t="s">
        <v>320</v>
      </c>
      <c r="F60" s="2"/>
      <c r="G60" s="2"/>
      <c r="H60" s="781"/>
      <c r="I60" s="204"/>
      <c r="J60" s="287"/>
      <c r="K60" s="209"/>
    </row>
    <row r="61" spans="1:11" s="11" customFormat="1" ht="13.5" thickBot="1">
      <c r="A61" s="121"/>
      <c r="B61" s="133"/>
      <c r="D61" s="133"/>
      <c r="E61" s="2" t="s">
        <v>304</v>
      </c>
      <c r="F61" s="2"/>
      <c r="G61" s="2"/>
      <c r="H61" s="781"/>
      <c r="I61" s="204"/>
      <c r="J61" s="287"/>
      <c r="K61" s="209"/>
    </row>
    <row r="62" spans="1:11" s="11" customFormat="1" ht="12.75">
      <c r="A62" s="121"/>
      <c r="B62" s="133"/>
      <c r="D62" s="133"/>
      <c r="E62" s="438"/>
      <c r="F62" s="54" t="s">
        <v>301</v>
      </c>
      <c r="G62" s="785">
        <f>IF(I3=4,'Excerpt WDH'!$C$70,"")</f>
        <v>0.09999999999999998</v>
      </c>
      <c r="H62" s="781"/>
      <c r="I62" s="204"/>
      <c r="J62" s="287"/>
      <c r="K62" s="209"/>
    </row>
    <row r="63" spans="1:11" s="11" customFormat="1" ht="13.5" thickBot="1">
      <c r="A63" s="121"/>
      <c r="B63" s="133"/>
      <c r="D63" s="133"/>
      <c r="E63" s="438"/>
      <c r="F63" s="54" t="s">
        <v>302</v>
      </c>
      <c r="G63" s="756">
        <f>IF(I3=4,4*G62*G62*G10*G13/(G10+G13),"")</f>
        <v>1.9999999999999991</v>
      </c>
      <c r="H63" s="781"/>
      <c r="I63" s="204"/>
      <c r="J63" s="287"/>
      <c r="K63" s="209"/>
    </row>
    <row r="64" spans="1:11" s="11" customFormat="1" ht="13.5" thickBot="1">
      <c r="A64" s="121"/>
      <c r="B64" s="133"/>
      <c r="D64" s="133"/>
      <c r="E64" s="2"/>
      <c r="F64" s="53"/>
      <c r="G64" s="777" t="str">
        <f>IF(I3=4,IF(G65&gt;0.05,"NS",""),"")</f>
        <v>NS</v>
      </c>
      <c r="H64" s="781"/>
      <c r="I64" s="204"/>
      <c r="J64" s="287"/>
      <c r="K64" s="209"/>
    </row>
    <row r="65" spans="1:11" s="11" customFormat="1" ht="12.75">
      <c r="A65" s="121"/>
      <c r="B65" s="133"/>
      <c r="D65" s="133"/>
      <c r="E65" s="829" t="s">
        <v>299</v>
      </c>
      <c r="F65" s="830"/>
      <c r="G65" s="773">
        <f>IF(I3=4,IF(CHIDIST(G$63,2)&gt;0.000999,CHIDIST(G$63,2),""),"")</f>
        <v>0.36787945119283927</v>
      </c>
      <c r="H65" s="781"/>
      <c r="I65" s="204"/>
      <c r="J65" s="287"/>
      <c r="K65" s="209"/>
    </row>
    <row r="66" spans="1:11" s="11" customFormat="1" ht="13.5" thickBot="1">
      <c r="A66" s="121"/>
      <c r="B66" s="133"/>
      <c r="D66" s="133"/>
      <c r="E66" s="831"/>
      <c r="F66" s="830"/>
      <c r="G66" s="805">
        <f>IF(I3=4,IF(CHIDIST(G$63,2)&lt;0.001,CHIDIST(G$63,2),""),"")</f>
      </c>
      <c r="H66" s="781"/>
      <c r="I66" s="204"/>
      <c r="J66" s="287"/>
      <c r="K66" s="209"/>
    </row>
    <row r="67" spans="1:11" ht="13.5" thickBot="1">
      <c r="A67" s="786"/>
      <c r="B67" s="187"/>
      <c r="C67" s="187"/>
      <c r="D67" s="187"/>
      <c r="E67" s="187"/>
      <c r="F67" s="210"/>
      <c r="G67" s="796">
        <f>IF(AND(G10&gt;40,G13&gt;40),"","EXACT CRITICAL VALUES ARE TO BE PREFERRED")</f>
      </c>
      <c r="H67" s="799"/>
      <c r="I67" s="582"/>
      <c r="J67" s="287"/>
      <c r="K67"/>
    </row>
    <row r="68" spans="1:11" ht="13.5" thickBot="1">
      <c r="A68" s="153"/>
      <c r="B68" s="154"/>
      <c r="C68" s="154"/>
      <c r="D68" s="154"/>
      <c r="E68" s="154"/>
      <c r="F68" s="155"/>
      <c r="G68" s="156"/>
      <c r="H68" s="159"/>
      <c r="I68" s="157"/>
      <c r="J68" s="287"/>
      <c r="K68"/>
    </row>
    <row r="69" spans="1:11" ht="12.75">
      <c r="A69" s="218" t="s">
        <v>113</v>
      </c>
      <c r="B69" s="227"/>
      <c r="C69" s="227"/>
      <c r="D69" s="227"/>
      <c r="E69" s="227"/>
      <c r="F69" s="313"/>
      <c r="G69" s="203"/>
      <c r="H69" s="115"/>
      <c r="I69" s="204"/>
      <c r="J69" s="287"/>
      <c r="K69"/>
    </row>
    <row r="70" spans="1:11" ht="12.75">
      <c r="A70" s="307"/>
      <c r="B70" s="308"/>
      <c r="C70" s="308"/>
      <c r="D70" s="308"/>
      <c r="E70" s="308"/>
      <c r="F70" s="309"/>
      <c r="G70" s="310"/>
      <c r="H70" s="311"/>
      <c r="I70" s="312"/>
      <c r="J70" s="287"/>
      <c r="K70"/>
    </row>
    <row r="71" spans="1:11" ht="12.75">
      <c r="A71" s="307"/>
      <c r="B71" s="308"/>
      <c r="C71" s="308"/>
      <c r="D71" s="308"/>
      <c r="E71" s="308"/>
      <c r="F71" s="309"/>
      <c r="G71" s="310"/>
      <c r="H71" s="311"/>
      <c r="I71" s="312"/>
      <c r="J71" s="287"/>
      <c r="K71"/>
    </row>
    <row r="72" spans="1:11" ht="12.75">
      <c r="A72" s="307"/>
      <c r="B72" s="308"/>
      <c r="C72" s="308"/>
      <c r="D72" s="308"/>
      <c r="E72" s="308"/>
      <c r="F72" s="309"/>
      <c r="G72" s="310"/>
      <c r="H72" s="311"/>
      <c r="I72" s="312"/>
      <c r="J72" s="287"/>
      <c r="K72"/>
    </row>
    <row r="73" spans="1:11" ht="12.75">
      <c r="A73" s="307"/>
      <c r="B73" s="308"/>
      <c r="C73" s="308"/>
      <c r="D73" s="308"/>
      <c r="E73" s="308"/>
      <c r="F73" s="309"/>
      <c r="G73" s="310"/>
      <c r="H73" s="311"/>
      <c r="I73" s="312"/>
      <c r="J73" s="287"/>
      <c r="K73"/>
    </row>
    <row r="74" spans="1:11" ht="12.75">
      <c r="A74" s="307"/>
      <c r="B74" s="308"/>
      <c r="C74" s="308"/>
      <c r="D74" s="308"/>
      <c r="E74" s="308"/>
      <c r="F74" s="309"/>
      <c r="G74" s="310"/>
      <c r="H74" s="311"/>
      <c r="I74" s="312"/>
      <c r="J74" s="287"/>
      <c r="K74"/>
    </row>
    <row r="75" spans="1:11" ht="12.75">
      <c r="A75" s="307"/>
      <c r="B75" s="308"/>
      <c r="C75" s="308"/>
      <c r="D75" s="308"/>
      <c r="E75" s="308"/>
      <c r="F75" s="309"/>
      <c r="G75" s="310"/>
      <c r="H75" s="311"/>
      <c r="I75" s="312"/>
      <c r="J75" s="287"/>
      <c r="K75"/>
    </row>
    <row r="76" spans="1:11" ht="12.75">
      <c r="A76" s="307"/>
      <c r="B76" s="308"/>
      <c r="C76" s="308"/>
      <c r="D76" s="308"/>
      <c r="E76" s="308"/>
      <c r="F76" s="309"/>
      <c r="G76" s="310"/>
      <c r="H76" s="311"/>
      <c r="I76" s="312"/>
      <c r="J76" s="287"/>
      <c r="K76"/>
    </row>
    <row r="77" spans="1:11" ht="12.75">
      <c r="A77" s="307"/>
      <c r="B77" s="308"/>
      <c r="C77" s="308"/>
      <c r="D77" s="308"/>
      <c r="E77" s="308"/>
      <c r="F77" s="309"/>
      <c r="G77" s="310"/>
      <c r="H77" s="311"/>
      <c r="I77" s="312"/>
      <c r="J77" s="287"/>
      <c r="K77"/>
    </row>
    <row r="78" spans="1:11" ht="12.75">
      <c r="A78" s="307"/>
      <c r="B78" s="308"/>
      <c r="C78" s="308"/>
      <c r="D78" s="308"/>
      <c r="E78" s="308"/>
      <c r="F78" s="309"/>
      <c r="G78" s="310"/>
      <c r="H78" s="311"/>
      <c r="I78" s="312"/>
      <c r="J78" s="287"/>
      <c r="K78"/>
    </row>
    <row r="79" spans="1:11" ht="13.5" thickBot="1">
      <c r="A79" s="307"/>
      <c r="B79" s="308"/>
      <c r="C79" s="308"/>
      <c r="D79" s="308"/>
      <c r="E79" s="308"/>
      <c r="F79" s="309"/>
      <c r="G79" s="310"/>
      <c r="H79" s="311"/>
      <c r="I79" s="312"/>
      <c r="J79" s="287"/>
      <c r="K79"/>
    </row>
    <row r="80" spans="1:11" ht="13.5" thickBot="1">
      <c r="A80" s="153"/>
      <c r="B80" s="154"/>
      <c r="C80" s="154"/>
      <c r="D80" s="154"/>
      <c r="E80" s="154"/>
      <c r="F80" s="155"/>
      <c r="G80" s="156"/>
      <c r="H80" s="159"/>
      <c r="I80" s="157"/>
      <c r="J80" s="287"/>
      <c r="K80"/>
    </row>
    <row r="81" spans="1:11" ht="14.25" thickBot="1" thickTop="1">
      <c r="A81" s="109" t="s">
        <v>16</v>
      </c>
      <c r="B81" s="194"/>
      <c r="C81" s="194"/>
      <c r="D81" s="194"/>
      <c r="E81" s="198" t="s">
        <v>70</v>
      </c>
      <c r="F81" s="199"/>
      <c r="G81" s="195"/>
      <c r="H81" s="196"/>
      <c r="I81" s="379"/>
      <c r="J81" s="291"/>
      <c r="K81"/>
    </row>
    <row r="82" spans="1:11" ht="13.5" thickBot="1">
      <c r="A82" s="38"/>
      <c r="B82" s="20"/>
      <c r="C82" s="42"/>
      <c r="D82" s="42"/>
      <c r="E82" s="42"/>
      <c r="F82" s="6"/>
      <c r="G82" s="17"/>
      <c r="H82" s="17"/>
      <c r="I82" s="25"/>
      <c r="J82" s="287"/>
      <c r="K82"/>
    </row>
    <row r="83" spans="1:11" ht="13.5" thickBot="1">
      <c r="A83" s="34"/>
      <c r="B83" s="82" t="s">
        <v>19</v>
      </c>
      <c r="C83" s="10" t="s">
        <v>26</v>
      </c>
      <c r="D83" s="7"/>
      <c r="E83" s="244"/>
      <c r="F83" s="245" t="s">
        <v>232</v>
      </c>
      <c r="G83" s="246"/>
      <c r="H83" s="246"/>
      <c r="I83" s="247"/>
      <c r="J83" s="287"/>
      <c r="K83"/>
    </row>
    <row r="84" spans="1:11" ht="14.25" thickBot="1">
      <c r="A84" s="34"/>
      <c r="B84" s="83" t="s">
        <v>20</v>
      </c>
      <c r="C84" s="9" t="s">
        <v>233</v>
      </c>
      <c r="D84" s="495" t="s">
        <v>21</v>
      </c>
      <c r="E84" s="506"/>
      <c r="F84" s="91" t="s">
        <v>237</v>
      </c>
      <c r="G84" s="100" t="str">
        <f>IF(AND(ABS(('Excerpt WDH'!$G$22)/$G$9-1)&lt;0.05,SUM($B$132:$B$144)=$G$10)," ","OUTPUT UNRELIABLE !!")</f>
        <v> </v>
      </c>
      <c r="H84" s="80"/>
      <c r="I84" s="97" t="s">
        <v>235</v>
      </c>
      <c r="J84" s="287"/>
      <c r="K84"/>
    </row>
    <row r="85" spans="1:11" ht="12.75">
      <c r="A85" s="34"/>
      <c r="B85" s="101"/>
      <c r="C85" s="6"/>
      <c r="D85" s="6"/>
      <c r="E85" s="148"/>
      <c r="F85" s="92" t="s">
        <v>17</v>
      </c>
      <c r="G85" s="827" t="s">
        <v>238</v>
      </c>
      <c r="H85" s="828"/>
      <c r="I85" s="25" t="s">
        <v>36</v>
      </c>
      <c r="J85" s="287"/>
      <c r="K85"/>
    </row>
    <row r="86" spans="1:11" ht="13.5" thickBot="1">
      <c r="A86" s="34"/>
      <c r="B86" s="101"/>
      <c r="C86" s="6"/>
      <c r="D86" s="6"/>
      <c r="E86" s="148"/>
      <c r="F86" s="95" t="s">
        <v>18</v>
      </c>
      <c r="G86" s="169" t="s">
        <v>56</v>
      </c>
      <c r="H86" s="292"/>
      <c r="I86" s="98" t="s">
        <v>18</v>
      </c>
      <c r="J86" s="287"/>
      <c r="K86"/>
    </row>
    <row r="87" spans="1:20" ht="12.75">
      <c r="A87" s="34"/>
      <c r="B87" s="500" t="str">
        <f>IF(OR(C87&lt;'Excerpt WDH'!$B$31,C87&gt;'Excerpt WDH'!$E$31)," ",('Excerpt WDH'!E39)*('Excerpt WDH'!$G$22-'Excerpt WDH'!$G$23)/('Excerpt WDH'!$E$52))</f>
        <v> </v>
      </c>
      <c r="C87" s="113">
        <v>12</v>
      </c>
      <c r="D87" s="111" t="str">
        <f>IF(OR(C87&lt;'Excerpt WDH'!$B$31,C87&gt;'Excerpt WDH'!$E$31)," ",10*(C87-'Excerpt WDH'!B$31)/('Excerpt WDH'!E$31-'Excerpt WDH'!B$31))</f>
        <v> </v>
      </c>
      <c r="E87" s="67"/>
      <c r="F87" s="520">
        <f>IF(OR(C87&lt;B$126-0.1,C87&gt;C$126+0.1),"",'Excerpt WDH'!F39)</f>
      </c>
      <c r="G87" s="524" t="str">
        <f>IF(OR($C132&lt;$B$126,$C132&gt;$C$126,'Excerpt WDH'!$G$22&lt;$B$126,$D$129&gt;600)," ",IF($B132&gt;$G$10/200,100*$B132/$G$10,"&lt; 1"))</f>
        <v> </v>
      </c>
      <c r="H87" s="525" t="str">
        <f>IF(OR($C132&lt;$B$126,$C132&gt;$C$126,'Excerpt WDH'!$G$22&lt;601)," ",IF($B132&gt;$G$10/2000,100*$B132/$G$10,"&lt; 0,1"))</f>
        <v> </v>
      </c>
      <c r="I87" s="509" t="str">
        <f>IF(D$126=1,IF(OR(C87&lt;B$126-0.1,C87&gt;C$126+0.1),"  ",C87)," ")</f>
        <v> </v>
      </c>
      <c r="J87" s="287"/>
      <c r="K87"/>
      <c r="Q87" s="94" t="str">
        <f>IF(OR(N132&lt;'Excerpt WDH'!$B$31,N132&gt;'Excerpt WDH'!$E$31,'Excerpt WDH'!N$32=1)," ",N132)</f>
        <v> </v>
      </c>
      <c r="R87" s="77" t="str">
        <f>IF(OR($C132&lt;'Excerpt WDH'!$B$31,$C132&gt;'Excerpt WDH'!$E$31,'Excerpt WDH'!$G$22&lt;'Excerpt WDH'!$E$31,'Excerpt WDH'!$G$22&gt;600)," ",IF($B132&gt;$G$10/200,100*$B132/$G$10,"&lt; 1"))</f>
        <v> </v>
      </c>
      <c r="S87" s="128" t="str">
        <f>IF(OR($C132&lt;'Excerpt WDH'!$B$31,$C132&gt;'Excerpt WDH'!$E$31,'Excerpt WDH'!$G$22&lt;601)," ",IF($B132&gt;$G$10/2000,100*$B132/$G$10,"&lt; 0,1"))</f>
        <v> </v>
      </c>
      <c r="T87" s="126" t="str">
        <f>IF(OR(N132&lt;'Excerpt WDH'!$B$31,N132&gt;'Excerpt WDH'!$E$31,'Excerpt WDH'!N$32=0)," ",'Excerpt WDH'!P$31+'Excerpt WDH'!M$31-N132)</f>
        <v> </v>
      </c>
    </row>
    <row r="88" spans="1:20" ht="12.75">
      <c r="A88" s="34"/>
      <c r="B88" s="500" t="str">
        <f>IF(OR(C88&lt;'Excerpt WDH'!$B$31,C88&gt;'Excerpt WDH'!$E$31)," ",('Excerpt WDH'!E40)*('Excerpt WDH'!$G$22-'Excerpt WDH'!$G$23)/('Excerpt WDH'!$E$52))</f>
        <v> </v>
      </c>
      <c r="C88" s="113">
        <v>11</v>
      </c>
      <c r="D88" s="111" t="str">
        <f>IF(OR(C88&lt;'Excerpt WDH'!B$31,C88&gt;'Excerpt WDH'!E$31)," ",10*(C88-'Excerpt WDH'!B$31)/('Excerpt WDH'!E$31-'Excerpt WDH'!B$31))</f>
        <v> </v>
      </c>
      <c r="E88" s="67"/>
      <c r="F88" s="521" t="str">
        <f>IF(OR(C88&lt;B$126-0.1,C68&gt;C$126+0.1),"",'Excerpt WDH'!F40)</f>
        <v> </v>
      </c>
      <c r="G88" s="526" t="str">
        <f>IF(OR($C133&lt;$B$126,$C133&gt;$C$126,'Excerpt WDH'!$G$22&lt;$B$126,$D$129&gt;600)," ",IF($B133&gt;$G$10/200,100*$B133/$G$10,"&lt; 1"))</f>
        <v> </v>
      </c>
      <c r="H88" s="527" t="str">
        <f>IF(OR($C133&lt;$B$126,$C133&gt;$C$126,'Excerpt WDH'!$G$22&lt;601)," ",IF($B133&gt;$G$10/2000,100*$B133/$G$10,"&lt; 0,1"))</f>
        <v> </v>
      </c>
      <c r="I88" s="501" t="str">
        <f>IF(D$126=1,IF(OR(C88&lt;B$126-0.1,C88&gt;C$126+0.1),"  ",C88)," ")</f>
        <v> </v>
      </c>
      <c r="J88" s="287"/>
      <c r="K88"/>
      <c r="Q88" s="93" t="str">
        <f>IF(OR(N133&lt;'Excerpt WDH'!$B$31,N133&gt;'Excerpt WDH'!$E$31,'Excerpt WDH'!N$32=1)," ",N133)</f>
        <v> </v>
      </c>
      <c r="R88" s="77" t="str">
        <f>IF(OR($C133&lt;'Excerpt WDH'!$B$31,$C133&gt;'Excerpt WDH'!$E$31,'Excerpt WDH'!$G$22&lt;'Excerpt WDH'!$E$31,'Excerpt WDH'!$G$22&gt;600)," ",IF($B133&gt;$G$10/200,100*$B133/$G$10,"&lt; 1"))</f>
        <v> </v>
      </c>
      <c r="S88" s="128" t="str">
        <f>IF(OR($C133&lt;'Excerpt WDH'!$B$31,$C133&gt;'Excerpt WDH'!$E$31,'Excerpt WDH'!$G$22&lt;601)," ",IF($B133&gt;$G$10/2000,100*$B133/$G$10,"&lt; 0,1"))</f>
        <v> </v>
      </c>
      <c r="T88" s="127" t="str">
        <f>IF(OR(N133&lt;'Excerpt WDH'!$B$31,N133&gt;'Excerpt WDH'!$E$31,'Excerpt WDH'!N$32=0)," ",'Excerpt WDH'!P$31+'Excerpt WDH'!M$31-N133)</f>
        <v> </v>
      </c>
    </row>
    <row r="89" spans="1:20" ht="12.75">
      <c r="A89" s="34"/>
      <c r="B89" s="500" t="str">
        <f>IF(OR(C89&lt;'Excerpt WDH'!$B$31,C89&gt;'Excerpt WDH'!$E$31)," ",('Excerpt WDH'!E41)*('Excerpt WDH'!$G$22-'Excerpt WDH'!$G$23)/('Excerpt WDH'!$E$52))</f>
        <v> </v>
      </c>
      <c r="C89" s="113">
        <v>10</v>
      </c>
      <c r="D89" s="111" t="str">
        <f>IF(OR(C89&lt;'Excerpt WDH'!B$31,C89&gt;'Excerpt WDH'!E$31)," ",10*(C89-'Excerpt WDH'!B$31)/('Excerpt WDH'!E$31-'Excerpt WDH'!B$31))</f>
        <v> </v>
      </c>
      <c r="E89" s="45"/>
      <c r="F89" s="521" t="str">
        <f>IF(OR(C89&lt;B$126-0.1,C69&gt;C$126+0.1),"",'Excerpt WDH'!F41)</f>
        <v> </v>
      </c>
      <c r="G89" s="526" t="str">
        <f>IF(OR($C134&lt;$B$126,$C134&gt;$C$126,'Excerpt WDH'!$G$22&lt;$B$126,$D$129&gt;600)," ",IF($B134&gt;$G$10/200,100*$B134/$G$10,"&lt; 1"))</f>
        <v> </v>
      </c>
      <c r="H89" s="527" t="str">
        <f>IF(OR($C134&lt;$B$126,$C134&gt;$C$126,'Excerpt WDH'!$G$22&lt;601)," ",IF($B134&gt;$G$10/2000,100*$B134/$G$10,"&lt; 0,1"))</f>
        <v> </v>
      </c>
      <c r="I89" s="501" t="str">
        <f aca="true" t="shared" si="0" ref="I89:I99">IF(D$126=1,IF(OR(C89&lt;B$126-0.1,C89&gt;C$126+0.1),"  ",C89)," ")</f>
        <v> </v>
      </c>
      <c r="J89" s="287"/>
      <c r="K89"/>
      <c r="Q89" s="93" t="str">
        <f>IF(OR(N134&lt;'Excerpt WDH'!$B$31,N134&gt;'Excerpt WDH'!$E$31,'Excerpt WDH'!N$32=1)," ",N134)</f>
        <v> </v>
      </c>
      <c r="R89" s="77" t="str">
        <f>IF(OR($C134&lt;'Excerpt WDH'!$B$31,$C134&gt;'Excerpt WDH'!$E$31,'Excerpt WDH'!$G$22&lt;'Excerpt WDH'!$E$31,'Excerpt WDH'!$G$22&gt;600)," ",IF($B134&gt;$G$10/200,100*$B134/$G$10,"&lt; 1"))</f>
        <v> </v>
      </c>
      <c r="S89" s="128" t="str">
        <f>IF(OR($C134&lt;'Excerpt WDH'!$B$31,$C134&gt;'Excerpt WDH'!$E$31,'Excerpt WDH'!$G$22&lt;601)," ",IF($B134&gt;$G$10/2000,100*$B134/$G$10,"&lt; 0,1"))</f>
        <v> </v>
      </c>
      <c r="T89" s="127" t="str">
        <f>IF(OR(N134&lt;'Excerpt WDH'!$B$31,N134&gt;'Excerpt WDH'!$E$31,'Excerpt WDH'!N$32=0)," ",'Excerpt WDH'!P$31+'Excerpt WDH'!M$31-N134)</f>
        <v> </v>
      </c>
    </row>
    <row r="90" spans="1:20" ht="12.75">
      <c r="A90" s="34"/>
      <c r="B90" s="500" t="str">
        <f>IF(OR(C90&lt;'Excerpt WDH'!$B$31,C90&gt;'Excerpt WDH'!$E$31)," ",('Excerpt WDH'!E42)*('Excerpt WDH'!$G$22-'Excerpt WDH'!$G$23)/('Excerpt WDH'!$E$52))</f>
        <v> </v>
      </c>
      <c r="C90" s="113">
        <v>9</v>
      </c>
      <c r="D90" s="111" t="str">
        <f>IF(OR(C90&lt;'Excerpt WDH'!B$31,C90&gt;'Excerpt WDH'!E$31)," ",10*(C90-'Excerpt WDH'!B$31)/('Excerpt WDH'!E$31-'Excerpt WDH'!B$31))</f>
        <v> </v>
      </c>
      <c r="E90" s="45"/>
      <c r="F90" s="521" t="str">
        <f>IF(OR(C90&lt;B$126-0.1,C70&gt;C$126+0.1),"",'Excerpt WDH'!F42)</f>
        <v> </v>
      </c>
      <c r="G90" s="526" t="str">
        <f>IF(OR($C135&lt;$B$126,$C135&gt;$C$126,'Excerpt WDH'!$G$22&lt;$B$126,$D$129&gt;600)," ",IF($B135&gt;$G$10/200,100*$B135/$G$10,"&lt; 1"))</f>
        <v> </v>
      </c>
      <c r="H90" s="527" t="str">
        <f>IF(OR($C135&lt;$B$126,$C135&gt;$C$126,'Excerpt WDH'!$G$22&lt;601)," ",IF($B135&gt;$G$10/2000,100*$B135/$G$10,"&lt; 0,1"))</f>
        <v> </v>
      </c>
      <c r="I90" s="501" t="str">
        <f t="shared" si="0"/>
        <v> </v>
      </c>
      <c r="J90" s="287"/>
      <c r="K90"/>
      <c r="Q90" s="93" t="str">
        <f>IF(OR(N135&lt;'Excerpt WDH'!$B$31,N135&gt;'Excerpt WDH'!$E$31,'Excerpt WDH'!N$32=1)," ",N135)</f>
        <v> </v>
      </c>
      <c r="R90" s="77" t="str">
        <f>IF(OR($C135&lt;'Excerpt WDH'!$B$31,$C135&gt;'Excerpt WDH'!$E$31,'Excerpt WDH'!$G$22&lt;'Excerpt WDH'!$E$31,'Excerpt WDH'!$G$22&gt;600)," ",IF($B135&gt;$G$10/200,100*$B135/$G$10,"&lt; 1"))</f>
        <v> </v>
      </c>
      <c r="S90" s="128" t="str">
        <f>IF(OR($C135&lt;'Excerpt WDH'!$B$31,$C135&gt;'Excerpt WDH'!$E$31,'Excerpt WDH'!$G$22&lt;601)," ",IF($B135&gt;$G$10/2000,100*$B135/$G$10,"&lt; 0,1"))</f>
        <v> </v>
      </c>
      <c r="T90" s="127" t="str">
        <f>IF(OR(N135&lt;'Excerpt WDH'!$B$31,N135&gt;'Excerpt WDH'!$E$31,'Excerpt WDH'!N$32=0)," ",'Excerpt WDH'!P$31+'Excerpt WDH'!M$31-N135)</f>
        <v> </v>
      </c>
    </row>
    <row r="91" spans="1:20" ht="12.75">
      <c r="A91" s="34"/>
      <c r="B91" s="500" t="str">
        <f>IF(OR(C91&lt;'Excerpt WDH'!$B$31,C91&gt;'Excerpt WDH'!$E$31)," ",('Excerpt WDH'!E43)*('Excerpt WDH'!$G$22-'Excerpt WDH'!$G$23)/('Excerpt WDH'!$E$52))</f>
        <v> </v>
      </c>
      <c r="C91" s="113">
        <v>8</v>
      </c>
      <c r="D91" s="111" t="str">
        <f>IF(OR(C91&lt;'Excerpt WDH'!B$31,C91&gt;'Excerpt WDH'!E$31)," ",10*(C91-'Excerpt WDH'!B$31)/('Excerpt WDH'!E$31-'Excerpt WDH'!B$31))</f>
        <v> </v>
      </c>
      <c r="E91" s="45"/>
      <c r="F91" s="521" t="str">
        <f>IF(OR(C91&lt;B$126-0.1,C71&gt;C$126+0.1),"",'Excerpt WDH'!F43)</f>
        <v> </v>
      </c>
      <c r="G91" s="526" t="str">
        <f>IF(OR($C136&lt;$B$126,$C136&gt;$C$126,'Excerpt WDH'!$G$22&lt;$B$126,$D$129&gt;600)," ",IF($B136&gt;$G$10/200,100*$B136/$G$10,"&lt; 1"))</f>
        <v> </v>
      </c>
      <c r="H91" s="527" t="str">
        <f>IF(OR($C136&lt;$B$126,$C136&gt;$C$126,'Excerpt WDH'!$G$22&lt;601)," ",IF($B136&gt;$G$10/2000,100*$B136/$G$10,"&lt; 0,1"))</f>
        <v> </v>
      </c>
      <c r="I91" s="501" t="str">
        <f t="shared" si="0"/>
        <v> </v>
      </c>
      <c r="J91" s="287"/>
      <c r="K91"/>
      <c r="Q91" s="93" t="str">
        <f>IF(OR(N136&lt;'Excerpt WDH'!$B$31,N136&gt;'Excerpt WDH'!$E$31,'Excerpt WDH'!N$32=1)," ",N136)</f>
        <v> </v>
      </c>
      <c r="R91" s="77" t="str">
        <f>IF(OR($C136&lt;'Excerpt WDH'!$B$31,$C136&gt;'Excerpt WDH'!$E$31,'Excerpt WDH'!$G$22&lt;'Excerpt WDH'!$E$31,'Excerpt WDH'!$G$22&gt;600)," ",IF($B136&gt;$G$10/200,100*$B136/$G$10,"&lt; 1"))</f>
        <v> </v>
      </c>
      <c r="S91" s="128" t="str">
        <f>IF(OR($C136&lt;'Excerpt WDH'!$B$31,$C136&gt;'Excerpt WDH'!$E$31,'Excerpt WDH'!$G$22&lt;601)," ",IF($B136&gt;$G$10/2000,100*$B136/$G$10,"&lt; 0,1"))</f>
        <v> </v>
      </c>
      <c r="T91" s="127" t="str">
        <f>IF(OR(N136&lt;'Excerpt WDH'!$B$31,N136&gt;'Excerpt WDH'!$E$31,'Excerpt WDH'!N$32=0)," ",'Excerpt WDH'!P$31+'Excerpt WDH'!M$31-N136)</f>
        <v> </v>
      </c>
    </row>
    <row r="92" spans="1:20" ht="12.75">
      <c r="A92" s="34"/>
      <c r="B92" s="500" t="str">
        <f>IF(OR(C92&lt;'Excerpt WDH'!$B$31,C92&gt;'Excerpt WDH'!$E$31)," ",('Excerpt WDH'!E44)*('Excerpt WDH'!$G$22-'Excerpt WDH'!$G$23)/('Excerpt WDH'!$E$52))</f>
        <v> </v>
      </c>
      <c r="C92" s="113">
        <v>7</v>
      </c>
      <c r="D92" s="111" t="str">
        <f>IF(OR(C92&lt;'Excerpt WDH'!B$31,C92&gt;'Excerpt WDH'!E$31)," ",10*(C92-'Excerpt WDH'!B$31)/('Excerpt WDH'!E$31-'Excerpt WDH'!B$31))</f>
        <v> </v>
      </c>
      <c r="E92" s="45"/>
      <c r="F92" s="521" t="str">
        <f>IF(OR(C92&lt;B$126-0.1,C72&gt;C$126+0.1),"",'Excerpt WDH'!F44)</f>
        <v> </v>
      </c>
      <c r="G92" s="526" t="str">
        <f>IF(OR($C137&lt;$B$126,$C137&gt;$C$126,'Excerpt WDH'!$G$22&lt;$B$126,$D$129&gt;600)," ",IF($B137&gt;$G$10/200,100*$B137/$G$10,"&lt; 1"))</f>
        <v> </v>
      </c>
      <c r="H92" s="527" t="str">
        <f>IF(OR($C137&lt;$B$126,$C137&gt;$C$126,'Excerpt WDH'!$G$22&lt;601)," ",IF($B137&gt;$G$10/2000,100*$B137/$G$10,"&lt; 0,1"))</f>
        <v> </v>
      </c>
      <c r="I92" s="501" t="str">
        <f t="shared" si="0"/>
        <v> </v>
      </c>
      <c r="J92" s="287"/>
      <c r="K92"/>
      <c r="Q92" s="93" t="str">
        <f>IF(OR(N137&lt;'Excerpt WDH'!$B$31,N137&gt;'Excerpt WDH'!$E$31,'Excerpt WDH'!N$32=1)," ",N137)</f>
        <v> </v>
      </c>
      <c r="R92" s="77" t="str">
        <f>IF(OR($C137&lt;'Excerpt WDH'!$B$31,$C137&gt;'Excerpt WDH'!$E$31,'Excerpt WDH'!$G$22&lt;'Excerpt WDH'!$E$31,'Excerpt WDH'!$G$22&gt;600)," ",IF($B137&gt;$G$10/200,100*$B137/$G$10,"&lt; 1"))</f>
        <v> </v>
      </c>
      <c r="S92" s="128" t="str">
        <f>IF(OR($C137&lt;'Excerpt WDH'!$B$31,$C137&gt;'Excerpt WDH'!$E$31,'Excerpt WDH'!$G$22&lt;601)," ",IF($B137&gt;$G$10/2000,100*$B137/$G$10,"&lt; 0,1"))</f>
        <v> </v>
      </c>
      <c r="T92" s="127" t="str">
        <f>IF(OR(N137&lt;'Excerpt WDH'!$B$31,N137&gt;'Excerpt WDH'!$E$31,'Excerpt WDH'!N$32=0)," ",'Excerpt WDH'!P$31+'Excerpt WDH'!M$31-N137)</f>
        <v> </v>
      </c>
    </row>
    <row r="93" spans="1:20" ht="12.75">
      <c r="A93" s="34"/>
      <c r="B93" s="500" t="str">
        <f>IF(OR(C93&lt;'Excerpt WDH'!$B$31,C93&gt;'Excerpt WDH'!$E$31)," ",('Excerpt WDH'!E45)*('Excerpt WDH'!$G$22-'Excerpt WDH'!$G$23)/('Excerpt WDH'!$E$52))</f>
        <v> </v>
      </c>
      <c r="C93" s="113">
        <v>6</v>
      </c>
      <c r="D93" s="111" t="str">
        <f>IF(OR(C93&lt;'Excerpt WDH'!B$31,C93&gt;'Excerpt WDH'!E$31)," ",10*(C93-'Excerpt WDH'!B$31)/('Excerpt WDH'!E$31-'Excerpt WDH'!B$31))</f>
        <v> </v>
      </c>
      <c r="E93" s="45"/>
      <c r="F93" s="521" t="str">
        <f>IF(OR(C93&lt;B$126-0.1,C73&gt;C$126+0.1),"",'Excerpt WDH'!F45)</f>
        <v> </v>
      </c>
      <c r="G93" s="526" t="str">
        <f>IF(OR($C138&lt;$B$126,$C138&gt;$C$126,'Excerpt WDH'!$G$22&lt;$B$126,$D$129&gt;600)," ",IF($B138&gt;$G$10/200,100*$B138/$G$10,"&lt; 1"))</f>
        <v> </v>
      </c>
      <c r="H93" s="527" t="str">
        <f>IF(OR($C138&lt;$B$126,$C138&gt;$C$126,'Excerpt WDH'!$G$22&lt;601)," ",IF($B138&gt;$G$10/2000,100*$B138/$G$10,"&lt; 0,1"))</f>
        <v> </v>
      </c>
      <c r="I93" s="501" t="str">
        <f t="shared" si="0"/>
        <v> </v>
      </c>
      <c r="J93" s="287"/>
      <c r="K93"/>
      <c r="Q93" s="93" t="str">
        <f>IF(OR(N138&lt;'Excerpt WDH'!$B$31,N138&gt;'Excerpt WDH'!$E$31,'Excerpt WDH'!N$32=1)," ",N138)</f>
        <v> </v>
      </c>
      <c r="R93" s="77" t="str">
        <f>IF(OR($C138&lt;'Excerpt WDH'!$B$31,$C138&gt;'Excerpt WDH'!$E$31,'Excerpt WDH'!$G$22&lt;'Excerpt WDH'!$E$31,'Excerpt WDH'!$G$22&gt;600)," ",IF($B138&gt;$G$10/200,100*$B138/$G$10,"&lt; 1"))</f>
        <v> </v>
      </c>
      <c r="S93" s="128" t="str">
        <f>IF(OR($C138&lt;'Excerpt WDH'!$B$31,$C138&gt;'Excerpt WDH'!$E$31,'Excerpt WDH'!$G$22&lt;601)," ",IF($B138&gt;$G$10/2000,100*$B138/$G$10,"&lt; 0,1"))</f>
        <v> </v>
      </c>
      <c r="T93" s="127" t="str">
        <f>IF(OR(N138&lt;'Excerpt WDH'!$B$31,N138&gt;'Excerpt WDH'!$E$31,'Excerpt WDH'!N$32=0)," ",'Excerpt WDH'!P$31+'Excerpt WDH'!M$31-N138)</f>
        <v> </v>
      </c>
    </row>
    <row r="94" spans="1:20" ht="12.75">
      <c r="A94" s="34"/>
      <c r="B94" s="500" t="str">
        <f>IF(OR(C94&lt;'Excerpt WDH'!$B$31,C94&gt;'Excerpt WDH'!$E$31)," ",('Excerpt WDH'!E46)*('Excerpt WDH'!$G$22-'Excerpt WDH'!$G$23)/('Excerpt WDH'!$E$52))</f>
        <v> </v>
      </c>
      <c r="C94" s="113">
        <v>5</v>
      </c>
      <c r="D94" s="111" t="str">
        <f>IF(OR(C94&lt;'Excerpt WDH'!B$31,C94&gt;'Excerpt WDH'!E$31)," ",10*(C94-'Excerpt WDH'!B$31)/('Excerpt WDH'!E$31-'Excerpt WDH'!B$31))</f>
        <v> </v>
      </c>
      <c r="E94" s="45"/>
      <c r="F94" s="521" t="str">
        <f>IF(OR(C94&lt;B$126-0.1,C74&gt;C$126+0.1),"",'Excerpt WDH'!F46)</f>
        <v> </v>
      </c>
      <c r="G94" s="526" t="str">
        <f>IF(OR($C139&lt;$B$126,$C139&gt;$C$126,'Excerpt WDH'!$G$22&lt;$B$126,$D$129&gt;600)," ",IF($B139&gt;$G$10/200,100*$B139/$G$10,"&lt; 1"))</f>
        <v> </v>
      </c>
      <c r="H94" s="527" t="str">
        <f>IF(OR($C139&lt;$B$126,$C139&gt;$C$126,'Excerpt WDH'!$G$22&lt;601)," ",IF($B139&gt;$G$10/2000,100*$B139/$G$10,"&lt; 0,1"))</f>
        <v> </v>
      </c>
      <c r="I94" s="501" t="str">
        <f t="shared" si="0"/>
        <v> </v>
      </c>
      <c r="J94" s="287"/>
      <c r="K94"/>
      <c r="Q94" s="93" t="str">
        <f>IF(OR(N139&lt;'Excerpt WDH'!$B$31,N139&gt;'Excerpt WDH'!$E$31,'Excerpt WDH'!N$32=1)," ",N139)</f>
        <v> </v>
      </c>
      <c r="R94" s="77" t="str">
        <f>IF(OR($C139&lt;'Excerpt WDH'!$B$31,$C139&gt;'Excerpt WDH'!$E$31,'Excerpt WDH'!$G$22&lt;'Excerpt WDH'!$E$31,'Excerpt WDH'!$G$22&gt;600)," ",IF($B139&gt;$G$10/200,100*$B139/$G$10,"&lt; 1"))</f>
        <v> </v>
      </c>
      <c r="S94" s="128" t="str">
        <f>IF(OR($C139&lt;'Excerpt WDH'!$B$31,$C139&gt;'Excerpt WDH'!$E$31,'Excerpt WDH'!$G$22&lt;601)," ",IF($B139&gt;$G$10/2000,100*$B139/$G$10,"&lt; 0,1"))</f>
        <v> </v>
      </c>
      <c r="T94" s="127" t="str">
        <f>IF(OR(N139&lt;'Excerpt WDH'!$B$31,N139&gt;'Excerpt WDH'!$E$31,'Excerpt WDH'!N$32=0)," ",'Excerpt WDH'!P$31+'Excerpt WDH'!M$31-N139)</f>
        <v> </v>
      </c>
    </row>
    <row r="95" spans="1:20" ht="12.75">
      <c r="A95" s="34"/>
      <c r="B95" s="500" t="str">
        <f>IF(OR(C95&lt;'Excerpt WDH'!$B$31,C95&gt;'Excerpt WDH'!$E$31)," ",('Excerpt WDH'!E47)*('Excerpt WDH'!$G$22-'Excerpt WDH'!$G$23)/('Excerpt WDH'!$E$52))</f>
        <v> </v>
      </c>
      <c r="C95" s="113">
        <v>4</v>
      </c>
      <c r="D95" s="111" t="str">
        <f>IF(OR(C95&lt;'Excerpt WDH'!B$31,C95&gt;'Excerpt WDH'!E$31)," ",10*(C95-'Excerpt WDH'!B$31)/('Excerpt WDH'!E$31-'Excerpt WDH'!B$31))</f>
        <v> </v>
      </c>
      <c r="E95" s="45"/>
      <c r="F95" s="521" t="str">
        <f>IF(OR(C95&lt;B$126-0.1,C75&gt;C$126+0.1),"",'Excerpt WDH'!F47)</f>
        <v> </v>
      </c>
      <c r="G95" s="526" t="str">
        <f>IF(OR($C140&lt;$B$126,$C140&gt;$C$126,'Excerpt WDH'!$G$22&lt;$B$126,$D$129&gt;600)," ",IF($B140&gt;$G$10/200,100*$B140/$G$10,"&lt; 1"))</f>
        <v> </v>
      </c>
      <c r="H95" s="527" t="str">
        <f>IF(OR($C140&lt;$B$126,$C140&gt;$C$126,'Excerpt WDH'!$G$22&lt;601)," ",IF($B140&gt;$G$10/2000,100*$B140/$G$10,"&lt; 0,1"))</f>
        <v> </v>
      </c>
      <c r="I95" s="501" t="str">
        <f t="shared" si="0"/>
        <v> </v>
      </c>
      <c r="J95" s="287"/>
      <c r="K95"/>
      <c r="Q95" s="93" t="str">
        <f>IF(OR(N140&lt;'Excerpt WDH'!$B$31,N140&gt;'Excerpt WDH'!$E$31,'Excerpt WDH'!N$32=1)," ",N140)</f>
        <v> </v>
      </c>
      <c r="R95" s="77" t="str">
        <f>IF(OR($C140&lt;'Excerpt WDH'!$B$31,$C140&gt;'Excerpt WDH'!$E$31,'Excerpt WDH'!$G$22&lt;'Excerpt WDH'!$E$31,'Excerpt WDH'!$G$22&gt;600)," ",IF($B140&gt;$G$10/200,100*$B140/$G$10,"&lt; 1"))</f>
        <v> </v>
      </c>
      <c r="S95" s="128" t="str">
        <f>IF(OR($C140&lt;'Excerpt WDH'!$B$31,$C140&gt;'Excerpt WDH'!$E$31,'Excerpt WDH'!$G$22&lt;601)," ",IF($B140&gt;$G$10/2000,100*$B140/$G$10,"&lt; 0,1"))</f>
        <v> </v>
      </c>
      <c r="T95" s="127" t="str">
        <f>IF(OR(N140&lt;'Excerpt WDH'!$B$31,N140&gt;'Excerpt WDH'!$E$31,'Excerpt WDH'!N$32=0)," ",'Excerpt WDH'!P$31+'Excerpt WDH'!M$31-N140)</f>
        <v> </v>
      </c>
    </row>
    <row r="96" spans="1:20" ht="12.75">
      <c r="A96" s="34"/>
      <c r="B96" s="500">
        <f>IF(OR(C96&lt;'Excerpt WDH'!$B$31,C96&gt;'Excerpt WDH'!$E$31)," ",('Excerpt WDH'!E48)*('Excerpt WDH'!$G$22-'Excerpt WDH'!$G$23)/('Excerpt WDH'!$E$52))</f>
        <v>50</v>
      </c>
      <c r="C96" s="113">
        <v>3</v>
      </c>
      <c r="D96" s="111">
        <f>IF(OR(C96&lt;'Excerpt WDH'!B$31,C96&gt;'Excerpt WDH'!E$31)," ",10*(C96-'Excerpt WDH'!B$31)/('Excerpt WDH'!E$31-'Excerpt WDH'!B$31))</f>
        <v>10</v>
      </c>
      <c r="E96" s="45"/>
      <c r="F96" s="521">
        <f>IF(OR(C96&lt;B$126-0.1,C76&gt;C$126+0.1),"",'Excerpt WDH'!F48)</f>
        <v>3</v>
      </c>
      <c r="G96" s="526">
        <f>IF(OR($C141&lt;$B$126,$C141&gt;$C$126,'Excerpt WDH'!$G$22&lt;$B$126,$D$129&gt;600)," ",IF($B141&gt;$G$10/200,100*$B141/$G$10,"&lt; 1"))</f>
        <v>50</v>
      </c>
      <c r="H96" s="527" t="str">
        <f>IF(OR($C141&lt;$B$126,$C141&gt;$C$126,'Excerpt WDH'!$G$22&lt;601)," ",IF($B141&gt;$G$10/2000,100*$B141/$G$10,"&lt; 0,1"))</f>
        <v> </v>
      </c>
      <c r="I96" s="501" t="str">
        <f t="shared" si="0"/>
        <v> </v>
      </c>
      <c r="J96" s="287"/>
      <c r="K96"/>
      <c r="Q96" s="93" t="str">
        <f>IF(OR(N141&lt;'Excerpt WDH'!$B$31,N141&gt;'Excerpt WDH'!$E$31,'Excerpt WDH'!N$32=1)," ",N141)</f>
        <v> </v>
      </c>
      <c r="R96" s="77">
        <f>IF(OR($C141&lt;'Excerpt WDH'!$B$31,$C141&gt;'Excerpt WDH'!$E$31,'Excerpt WDH'!$G$22&lt;'Excerpt WDH'!$E$31,'Excerpt WDH'!$G$22&gt;600)," ",IF($B141&gt;$G$10/200,100*$B141/$G$10,"&lt; 1"))</f>
        <v>50</v>
      </c>
      <c r="S96" s="128" t="str">
        <f>IF(OR($C141&lt;'Excerpt WDH'!$B$31,$C141&gt;'Excerpt WDH'!$E$31,'Excerpt WDH'!$G$22&lt;601)," ",IF($B141&gt;$G$10/2000,100*$B141/$G$10,"&lt; 0,1"))</f>
        <v> </v>
      </c>
      <c r="T96" s="127" t="str">
        <f>IF(OR(N141&lt;'Excerpt WDH'!$B$31,N141&gt;'Excerpt WDH'!$E$31,'Excerpt WDH'!N$32=0)," ",'Excerpt WDH'!P$31+'Excerpt WDH'!M$31-N141)</f>
        <v> </v>
      </c>
    </row>
    <row r="97" spans="1:20" ht="12.75">
      <c r="A97" s="34"/>
      <c r="B97" s="500">
        <f>IF(OR(C97&lt;'Excerpt WDH'!$B$31,C97&gt;'Excerpt WDH'!$E$31)," ",('Excerpt WDH'!E49)*('Excerpt WDH'!$G$22-'Excerpt WDH'!$G$23)/('Excerpt WDH'!$E$52))</f>
        <v>20</v>
      </c>
      <c r="C97" s="113">
        <v>2</v>
      </c>
      <c r="D97" s="111">
        <f>IF(OR(C97&lt;'Excerpt WDH'!B$31,C97&gt;'Excerpt WDH'!E$31)," ",10*(C97-'Excerpt WDH'!B$31)/('Excerpt WDH'!E$31-'Excerpt WDH'!B$31))</f>
        <v>5</v>
      </c>
      <c r="E97" s="45"/>
      <c r="F97" s="521">
        <f>IF(OR(C97&lt;B$126-0.1,C77&gt;C$126+0.1),"",'Excerpt WDH'!F49)</f>
        <v>2</v>
      </c>
      <c r="G97" s="526">
        <f>IF(OR($C142&lt;$B$126,$C142&gt;$C$126,'Excerpt WDH'!$G$22&lt;$B$126,$D$129&gt;600)," ",IF($B142&gt;$G$10/200,100*$B142/$G$10,"&lt; 1"))</f>
        <v>20</v>
      </c>
      <c r="H97" s="527" t="str">
        <f>IF(OR($C142&lt;$B$126,$C142&gt;$C$126,'Excerpt WDH'!$G$22&lt;601)," ",IF($B142&gt;$G$10/2000,100*$B142/$G$10,"&lt; 0,1"))</f>
        <v> </v>
      </c>
      <c r="I97" s="501" t="str">
        <f t="shared" si="0"/>
        <v> </v>
      </c>
      <c r="J97" s="287"/>
      <c r="K97"/>
      <c r="Q97" s="93" t="str">
        <f>IF(OR(N142&lt;'Excerpt WDH'!$B$31,N142&gt;'Excerpt WDH'!$E$31,'Excerpt WDH'!N$32=1)," ",N142)</f>
        <v> </v>
      </c>
      <c r="R97" s="77">
        <f>IF(OR($C142&lt;'Excerpt WDH'!$B$31,$C142&gt;'Excerpt WDH'!$E$31,'Excerpt WDH'!$G$22&lt;'Excerpt WDH'!$E$31,'Excerpt WDH'!$G$22&gt;600)," ",IF($B142&gt;$G$10/200,100*$B142/$G$10,"&lt; 1"))</f>
        <v>20</v>
      </c>
      <c r="S97" s="128" t="str">
        <f>IF(OR($C142&lt;'Excerpt WDH'!$B$31,$C142&gt;'Excerpt WDH'!$E$31,'Excerpt WDH'!$G$22&lt;601)," ",IF($B142&gt;$G$10/2000,100*$B142/$G$10,"&lt; 0,1"))</f>
        <v> </v>
      </c>
      <c r="T97" s="127" t="str">
        <f>IF(OR(N142&lt;'Excerpt WDH'!$B$31,N142&gt;'Excerpt WDH'!$E$31,'Excerpt WDH'!N$32=0)," ",'Excerpt WDH'!P$31+'Excerpt WDH'!M$31-N142)</f>
        <v> </v>
      </c>
    </row>
    <row r="98" spans="1:20" ht="12.75">
      <c r="A98" s="34"/>
      <c r="B98" s="500">
        <f>IF(OR(C98&lt;'Excerpt WDH'!$B$31,C98&gt;'Excerpt WDH'!$E$31)," ",('Excerpt WDH'!E50)*('Excerpt WDH'!$G$22-'Excerpt WDH'!$G$23)/('Excerpt WDH'!$E$52))</f>
        <v>30</v>
      </c>
      <c r="C98" s="113">
        <v>1</v>
      </c>
      <c r="D98" s="111">
        <f>IF(OR(C98&lt;'Excerpt WDH'!B$31,C98&gt;'Excerpt WDH'!E$31)," ",10*(C98-'Excerpt WDH'!B$31)/('Excerpt WDH'!E$31-'Excerpt WDH'!B$31))</f>
        <v>0</v>
      </c>
      <c r="E98" s="45"/>
      <c r="F98" s="521">
        <f>IF(OR(C98&lt;B$126-0.1,C78&gt;C$126+0.1),"",'Excerpt WDH'!F50)</f>
        <v>1</v>
      </c>
      <c r="G98" s="526">
        <f>IF(OR($C143&lt;$B$126,$C143&gt;$C$126,'Excerpt WDH'!$G$22&lt;$B$126,$D$129&gt;600)," ",IF($B143&gt;$G$10/200,100*$B143/$G$10,"&lt; 1"))</f>
        <v>30</v>
      </c>
      <c r="H98" s="527" t="str">
        <f>IF(OR($C143&lt;$B$126,$C143&gt;$C$126,'Excerpt WDH'!$G$22&lt;601)," ",IF($B143&gt;$G$10/2000,100*$B143/$G$10,"&lt; 0,1"))</f>
        <v> </v>
      </c>
      <c r="I98" s="501" t="str">
        <f t="shared" si="0"/>
        <v> </v>
      </c>
      <c r="J98" s="287"/>
      <c r="K98"/>
      <c r="Q98" s="93" t="str">
        <f>IF(OR(N143&lt;'Excerpt WDH'!$B$31,N143&gt;'Excerpt WDH'!$E$31,'Excerpt WDH'!N$32=1)," ",N143)</f>
        <v> </v>
      </c>
      <c r="R98" s="77">
        <f>IF(OR($C143&lt;'Excerpt WDH'!$B$31,$C143&gt;'Excerpt WDH'!$E$31,'Excerpt WDH'!$G$22&lt;'Excerpt WDH'!$E$31,'Excerpt WDH'!$G$22&gt;600)," ",IF($B143&gt;$G$10/200,100*$B143/$G$10,"&lt; 1"))</f>
        <v>30</v>
      </c>
      <c r="S98" s="128" t="str">
        <f>IF(OR($C143&lt;'Excerpt WDH'!$B$31,$C143&gt;'Excerpt WDH'!$E$31,'Excerpt WDH'!$G$22&lt;601)," ",IF($B143&gt;$G$10/2000,100*$B143/$G$10,"&lt; 0,1"))</f>
        <v> </v>
      </c>
      <c r="T98" s="127" t="str">
        <f>IF(OR(N143&lt;'Excerpt WDH'!$B$31,N143&gt;'Excerpt WDH'!$E$31,'Excerpt WDH'!N$32=0)," ",'Excerpt WDH'!P$31+'Excerpt WDH'!M$31-N143)</f>
        <v> </v>
      </c>
    </row>
    <row r="99" spans="1:20" ht="13.5" thickBot="1">
      <c r="A99" s="34"/>
      <c r="B99" s="500" t="str">
        <f>IF(OR(C99&lt;'Excerpt WDH'!$B$31,C99&gt;'Excerpt WDH'!$E$31)," ",('Excerpt WDH'!E51)*('Excerpt WDH'!$G$22-'Excerpt WDH'!$G$23)/('Excerpt WDH'!$E$52))</f>
        <v> </v>
      </c>
      <c r="C99" s="114">
        <v>0</v>
      </c>
      <c r="D99" s="112" t="str">
        <f>IF(OR(C99&lt;'Excerpt WDH'!B$31,C99&gt;'Excerpt WDH'!E$31)," ",10*(C99-'Excerpt WDH'!B$31)/('Excerpt WDH'!E$31-'Excerpt WDH'!B$31))</f>
        <v> </v>
      </c>
      <c r="E99" s="45"/>
      <c r="F99" s="522">
        <f>IF(OR(C99&lt;B$126-0.1,C79&gt;C$126+0.1),"",'Excerpt WDH'!F51)</f>
      </c>
      <c r="G99" s="528" t="str">
        <f>IF(OR($C144&lt;$B$126,$C144&gt;$C$126,'Excerpt WDH'!$G$22&lt;$B$126,$D$129&gt;600)," ",IF($B144&gt;$G$10/200,100*$B144/$G$10,"&lt; 1"))</f>
        <v> </v>
      </c>
      <c r="H99" s="529" t="str">
        <f>IF(OR($C144&lt;$B$126,$C144&gt;$C$126,'Excerpt WDH'!$G$22&lt;601)," ",IF($B144&gt;$G$10/2000,100*$B144/$G$10,"&lt; 0,1"))</f>
        <v> </v>
      </c>
      <c r="I99" s="523" t="str">
        <f t="shared" si="0"/>
        <v> </v>
      </c>
      <c r="J99" s="287"/>
      <c r="K99"/>
      <c r="Q99" s="130" t="str">
        <f>IF(OR(N144&lt;'Excerpt WDH'!$B$31,N144&gt;'Excerpt WDH'!$E$31,'Excerpt WDH'!N$32=1)," ",N144)</f>
        <v> </v>
      </c>
      <c r="R99" s="77" t="str">
        <f>IF(OR($C144&lt;'Excerpt WDH'!$B$31,$C144&gt;'Excerpt WDH'!$E$31,'Excerpt WDH'!$G$22&lt;'Excerpt WDH'!$E$31,'Excerpt WDH'!$G$22&gt;600)," ",IF($B144&gt;$G$10/200,100*$B144/$G$10,"&lt; 1"))</f>
        <v> </v>
      </c>
      <c r="S99" s="128" t="str">
        <f>IF(OR($C144&lt;'Excerpt WDH'!$B$31,$C144&gt;'Excerpt WDH'!$E$31,'Excerpt WDH'!$G$22&lt;601)," ",IF($B144&gt;$G$10/2000,100*$B144/$G$10,"&lt; 0,1"))</f>
        <v> </v>
      </c>
      <c r="T99" s="129" t="str">
        <f>IF(OR(N144&lt;'Excerpt WDH'!$B$31,N144&gt;'Excerpt WDH'!$E$31,'Excerpt WDH'!N$32=0)," ",'Excerpt WDH'!P$31+'Excerpt WDH'!M$31-N144)</f>
        <v> </v>
      </c>
    </row>
    <row r="100" spans="1:11" ht="13.5" thickBot="1">
      <c r="A100" s="34"/>
      <c r="B100" s="293">
        <f>'Excerpt WDH'!E53</f>
        <v>0</v>
      </c>
      <c r="C100" s="206" t="s">
        <v>53</v>
      </c>
      <c r="D100" s="224"/>
      <c r="E100" s="507" t="s">
        <v>76</v>
      </c>
      <c r="F100" s="167" t="s">
        <v>58</v>
      </c>
      <c r="G100" s="171">
        <f>IF(OR((SUM($B87:$B99))=(SUM($B87:$B100)),'Excerpt WDH'!G22&gt;600),"",100*$B100/(SUM($B87:$B100)))</f>
      </c>
      <c r="H100" s="168">
        <f>IF(OR((SUM($B87:$B99))=(SUM($B87:$B100)),'Excerpt WDH'!G22&lt;601),"",100*$B100/(SUM($B87:$B100)))</f>
      </c>
      <c r="I100" s="181"/>
      <c r="J100" s="287"/>
      <c r="K100"/>
    </row>
    <row r="101" spans="1:11" ht="13.5" thickBot="1">
      <c r="A101" s="34"/>
      <c r="B101" s="249" t="s">
        <v>54</v>
      </c>
      <c r="C101" s="207"/>
      <c r="D101" s="225"/>
      <c r="E101" s="508">
        <v>1</v>
      </c>
      <c r="F101" s="176"/>
      <c r="G101" s="177"/>
      <c r="H101" s="183" t="s">
        <v>59</v>
      </c>
      <c r="I101" s="182">
        <f>MAX((SUM(G87:G99)),(SUM(H87:H99)))</f>
        <v>100</v>
      </c>
      <c r="J101" s="287"/>
      <c r="K101"/>
    </row>
    <row r="102" spans="1:26" ht="13.5" thickBot="1">
      <c r="A102" s="34"/>
      <c r="B102" s="6"/>
      <c r="C102" s="6"/>
      <c r="D102" s="6"/>
      <c r="E102" s="6"/>
      <c r="F102" s="6"/>
      <c r="G102" s="6"/>
      <c r="H102" s="6"/>
      <c r="I102" s="5"/>
      <c r="J102" s="287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1:26" ht="13.5" thickBot="1">
      <c r="A103" s="153"/>
      <c r="B103" s="154"/>
      <c r="C103" s="154"/>
      <c r="D103" s="154"/>
      <c r="E103" s="154"/>
      <c r="F103" s="155"/>
      <c r="G103" s="156"/>
      <c r="H103" s="159"/>
      <c r="I103" s="157"/>
      <c r="J103" s="287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1:26" ht="13.5" thickBot="1">
      <c r="A104" s="202"/>
      <c r="B104" s="133"/>
      <c r="C104" s="133"/>
      <c r="D104" s="133"/>
      <c r="E104" s="198" t="s">
        <v>71</v>
      </c>
      <c r="F104" s="199"/>
      <c r="G104" s="205"/>
      <c r="H104" s="115"/>
      <c r="I104" s="204"/>
      <c r="J104" s="287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1:11" ht="13.5" thickBot="1">
      <c r="A105" s="38"/>
      <c r="B105" s="20"/>
      <c r="C105" s="42"/>
      <c r="D105" s="42"/>
      <c r="E105" s="42"/>
      <c r="F105" s="6"/>
      <c r="G105" s="17"/>
      <c r="H105" s="17"/>
      <c r="I105" s="25"/>
      <c r="J105" s="287"/>
      <c r="K105"/>
    </row>
    <row r="106" spans="1:11" ht="13.5" thickBot="1">
      <c r="A106" s="34"/>
      <c r="B106" s="82" t="s">
        <v>19</v>
      </c>
      <c r="C106" s="10" t="s">
        <v>26</v>
      </c>
      <c r="D106" s="7"/>
      <c r="E106" s="244"/>
      <c r="F106" s="245" t="s">
        <v>232</v>
      </c>
      <c r="G106" s="246"/>
      <c r="H106" s="246"/>
      <c r="I106" s="247"/>
      <c r="J106" s="287"/>
      <c r="K106"/>
    </row>
    <row r="107" spans="1:11" ht="14.25" thickBot="1">
      <c r="A107" s="34"/>
      <c r="B107" s="83" t="s">
        <v>20</v>
      </c>
      <c r="C107" s="9" t="s">
        <v>233</v>
      </c>
      <c r="D107" s="495" t="s">
        <v>21</v>
      </c>
      <c r="E107" s="506"/>
      <c r="F107" s="91" t="s">
        <v>237</v>
      </c>
      <c r="G107" s="100" t="str">
        <f>IF(AND(ABS(('Excerpt WDH'!$G$22)/$G$9-1)&lt;0.05,SUM($B$132:$B$144)=$G$10)," ","OUTPUT UNRELIABLE !!")</f>
        <v> </v>
      </c>
      <c r="H107" s="80"/>
      <c r="I107" s="97" t="s">
        <v>235</v>
      </c>
      <c r="J107" s="287"/>
      <c r="K107"/>
    </row>
    <row r="108" spans="1:11" ht="12.75">
      <c r="A108" s="34"/>
      <c r="B108" s="101"/>
      <c r="C108" s="6"/>
      <c r="D108" s="6"/>
      <c r="E108" s="148"/>
      <c r="F108" s="92" t="s">
        <v>17</v>
      </c>
      <c r="G108" s="827" t="s">
        <v>239</v>
      </c>
      <c r="H108" s="828"/>
      <c r="I108" s="25" t="s">
        <v>36</v>
      </c>
      <c r="J108" s="287"/>
      <c r="K108"/>
    </row>
    <row r="109" spans="1:11" ht="13.5" thickBot="1">
      <c r="A109" s="34"/>
      <c r="B109" s="101"/>
      <c r="C109" s="6"/>
      <c r="D109" s="6"/>
      <c r="E109" s="148"/>
      <c r="F109" s="95" t="s">
        <v>18</v>
      </c>
      <c r="G109" s="169" t="s">
        <v>56</v>
      </c>
      <c r="H109" s="292"/>
      <c r="I109" s="98" t="s">
        <v>18</v>
      </c>
      <c r="J109" s="287"/>
      <c r="K109"/>
    </row>
    <row r="110" spans="1:11" ht="12.75">
      <c r="A110" s="34"/>
      <c r="B110" s="500" t="str">
        <f>IF(OR(C110&lt;'Excerpt WDH'!$B$31,C110&gt;'Excerpt WDH'!$E$31)," ",('Excerpt WDH'!G39)*('Excerpt WDH'!$G$25-'Excerpt WDH'!$G$26)/('Excerpt WDH'!$G$52))</f>
        <v> </v>
      </c>
      <c r="C110" s="113">
        <v>12</v>
      </c>
      <c r="D110" s="111" t="str">
        <f>IF(OR(C110&lt;'Excerpt WDH'!$B$31,C110&gt;'Excerpt WDH'!$E$31)," ",10*(C110-'Excerpt WDH'!B$31)/('Excerpt WDH'!E$31-'Excerpt WDH'!B$31))</f>
        <v> </v>
      </c>
      <c r="E110" s="67"/>
      <c r="F110" s="520">
        <f>IF(OR(C110&lt;B$126-0.1,C110&gt;C$126+0.1),"",'Excerpt WDH'!F39)</f>
      </c>
      <c r="G110" s="524" t="str">
        <f>IF(OR($C160&lt;'Excerpt WDH'!$B$31,$C160&gt;'Excerpt WDH'!$E$31,'Excerpt WDH'!$G$25&lt;'Excerpt WDH'!$E$31,'Excerpt WDH'!$G$25&gt;600)," ",IF($B160&gt;$G$13/200,100*$B160/$G$13,"&lt; 1"))</f>
        <v> </v>
      </c>
      <c r="H110" s="128" t="str">
        <f>IF(OR($C160&lt;'Excerpt WDH'!$B$31,$C160&gt;'Excerpt WDH'!$E$31,'Excerpt WDH'!$G$25&lt;601)," ",IF($B160&gt;$G$13/2000,100*$B160/$G$13,"&lt; 0,1"))</f>
        <v> </v>
      </c>
      <c r="I110" s="501" t="str">
        <f>IF(D$126=1,IF(OR(C110&lt;B$126-0.1,C110&gt;C$126+0.1),"  ",C110)," ")</f>
        <v> </v>
      </c>
      <c r="J110" s="287"/>
      <c r="K110"/>
    </row>
    <row r="111" spans="1:11" ht="12.75">
      <c r="A111" s="34"/>
      <c r="B111" s="500" t="str">
        <f>IF(OR(C111&lt;'Excerpt WDH'!$B$31,C111&gt;'Excerpt WDH'!$E$31)," ",('Excerpt WDH'!G40)*('Excerpt WDH'!$G$25-'Excerpt WDH'!$G$26)/('Excerpt WDH'!$G$52))</f>
        <v> </v>
      </c>
      <c r="C111" s="113">
        <v>11</v>
      </c>
      <c r="D111" s="111" t="str">
        <f>IF(OR(C111&lt;'Excerpt WDH'!B$31,C111&gt;'Excerpt WDH'!E$31)," ",10*(C111-'Excerpt WDH'!B$31)/('Excerpt WDH'!E$31-'Excerpt WDH'!B$31))</f>
        <v> </v>
      </c>
      <c r="E111" s="67"/>
      <c r="F111" s="521">
        <f>IF(OR(C111&lt;B$126-0.1,C111&gt;C$126+0.1),"",'Excerpt WDH'!F40)</f>
      </c>
      <c r="G111" s="526" t="str">
        <f>IF(OR($C161&lt;'Excerpt WDH'!$B$31,$C161&gt;'Excerpt WDH'!$E$31,'Excerpt WDH'!$G$25&lt;'Excerpt WDH'!$E$31,'Excerpt WDH'!$G$25&gt;600)," ",IF($B161&gt;$G$13/200,100*$B161/$G$13,"&lt; 1"))</f>
        <v> </v>
      </c>
      <c r="H111" s="128" t="str">
        <f>IF(OR($C161&lt;'Excerpt WDH'!$B$31,$C161&gt;'Excerpt WDH'!$E$31,'Excerpt WDH'!$G$25&lt;601)," ",IF($B161&gt;$G$13/2000,100*$B161/$G$13,"&lt; 0,1"))</f>
        <v> </v>
      </c>
      <c r="I111" s="501" t="str">
        <f>IF(D$126=1,IF(OR(C111&lt;B$126-0.1,C111&gt;C$126+0.1),"  ",C111)," ")</f>
        <v> </v>
      </c>
      <c r="J111" s="287"/>
      <c r="K111"/>
    </row>
    <row r="112" spans="1:11" ht="12.75">
      <c r="A112" s="34"/>
      <c r="B112" s="500" t="str">
        <f>IF(OR(C112&lt;'Excerpt WDH'!$B$31,C112&gt;'Excerpt WDH'!$E$31)," ",('Excerpt WDH'!G41)*('Excerpt WDH'!$G$25-'Excerpt WDH'!$G$26)/('Excerpt WDH'!$G$52))</f>
        <v> </v>
      </c>
      <c r="C112" s="113">
        <v>10</v>
      </c>
      <c r="D112" s="111" t="str">
        <f>IF(OR(C112&lt;'Excerpt WDH'!B$31,C112&gt;'Excerpt WDH'!E$31)," ",10*(C112-'Excerpt WDH'!B$31)/('Excerpt WDH'!E$31-'Excerpt WDH'!B$31))</f>
        <v> </v>
      </c>
      <c r="E112" s="45"/>
      <c r="F112" s="521">
        <f>IF(OR(C112&lt;B$126-0.1,C112&gt;C$126+0.1),"",'Excerpt WDH'!F41)</f>
      </c>
      <c r="G112" s="526" t="str">
        <f>IF(OR($C162&lt;'Excerpt WDH'!$B$31,$C162&gt;'Excerpt WDH'!$E$31,'Excerpt WDH'!$G$25&lt;'Excerpt WDH'!$E$31,'Excerpt WDH'!$G$25&gt;600)," ",IF($B162&gt;$G$13/200,100*$B162/$G$13,"&lt; 1"))</f>
        <v> </v>
      </c>
      <c r="H112" s="128" t="str">
        <f>IF(OR($C162&lt;'Excerpt WDH'!$B$31,$C162&gt;'Excerpt WDH'!$E$31,'Excerpt WDH'!$G$25&lt;601)," ",IF($B162&gt;$G$13/2000,100*$B162/$G$13,"&lt; 0,1"))</f>
        <v> </v>
      </c>
      <c r="I112" s="501" t="str">
        <f aca="true" t="shared" si="1" ref="I112:I122">IF(D$126=1,IF(OR(C112&lt;B$126-0.1,C112&gt;C$126+0.1),"  ",C112)," ")</f>
        <v> </v>
      </c>
      <c r="J112" s="287"/>
      <c r="K112"/>
    </row>
    <row r="113" spans="1:11" ht="12.75">
      <c r="A113" s="34"/>
      <c r="B113" s="500" t="str">
        <f>IF(OR(C113&lt;'Excerpt WDH'!$B$31,C113&gt;'Excerpt WDH'!$E$31)," ",('Excerpt WDH'!G42)*('Excerpt WDH'!$G$25-'Excerpt WDH'!$G$26)/('Excerpt WDH'!$G$52))</f>
        <v> </v>
      </c>
      <c r="C113" s="113">
        <v>9</v>
      </c>
      <c r="D113" s="111" t="str">
        <f>IF(OR(C113&lt;'Excerpt WDH'!B$31,C113&gt;'Excerpt WDH'!E$31)," ",10*(C113-'Excerpt WDH'!B$31)/('Excerpt WDH'!E$31-'Excerpt WDH'!B$31))</f>
        <v> </v>
      </c>
      <c r="E113" s="45"/>
      <c r="F113" s="521">
        <f>IF(OR(C113&lt;B$126-0.1,C113&gt;C$126+0.1),"",'Excerpt WDH'!F42)</f>
      </c>
      <c r="G113" s="526" t="str">
        <f>IF(OR($C163&lt;'Excerpt WDH'!$B$31,$C163&gt;'Excerpt WDH'!$E$31,'Excerpt WDH'!$G$25&lt;'Excerpt WDH'!$E$31,'Excerpt WDH'!$G$25&gt;600)," ",IF($B163&gt;$G$13/200,100*$B163/$G$13,"&lt; 1"))</f>
        <v> </v>
      </c>
      <c r="H113" s="128" t="str">
        <f>IF(OR($C163&lt;'Excerpt WDH'!$B$31,$C163&gt;'Excerpt WDH'!$E$31,'Excerpt WDH'!$G$25&lt;601)," ",IF($B163&gt;$G$13/2000,100*$B163/$G$13,"&lt; 0,1"))</f>
        <v> </v>
      </c>
      <c r="I113" s="501" t="str">
        <f t="shared" si="1"/>
        <v> </v>
      </c>
      <c r="J113" s="287"/>
      <c r="K113"/>
    </row>
    <row r="114" spans="1:11" ht="12.75">
      <c r="A114" s="34"/>
      <c r="B114" s="500" t="str">
        <f>IF(OR(C114&lt;'Excerpt WDH'!$B$31,C114&gt;'Excerpt WDH'!$E$31)," ",('Excerpt WDH'!G43)*('Excerpt WDH'!$G$25-'Excerpt WDH'!$G$26)/('Excerpt WDH'!$G$52))</f>
        <v> </v>
      </c>
      <c r="C114" s="113">
        <v>8</v>
      </c>
      <c r="D114" s="111" t="str">
        <f>IF(OR(C114&lt;'Excerpt WDH'!B$31,C114&gt;'Excerpt WDH'!E$31)," ",10*(C114-'Excerpt WDH'!B$31)/('Excerpt WDH'!E$31-'Excerpt WDH'!B$31))</f>
        <v> </v>
      </c>
      <c r="E114" s="45"/>
      <c r="F114" s="521">
        <f>IF(OR(C114&lt;B$126-0.1,C114&gt;C$126+0.1),"",'Excerpt WDH'!F43)</f>
      </c>
      <c r="G114" s="526" t="str">
        <f>IF(OR($C164&lt;'Excerpt WDH'!$B$31,$C164&gt;'Excerpt WDH'!$E$31,'Excerpt WDH'!$G$25&lt;'Excerpt WDH'!$E$31,'Excerpt WDH'!$G$25&gt;600)," ",IF($B164&gt;$G$13/200,100*$B164/$G$13,"&lt; 1"))</f>
        <v> </v>
      </c>
      <c r="H114" s="128" t="str">
        <f>IF(OR($C164&lt;'Excerpt WDH'!$B$31,$C164&gt;'Excerpt WDH'!$E$31,'Excerpt WDH'!$G$25&lt;601)," ",IF($B164&gt;$G$13/2000,100*$B164/$G$13,"&lt; 0,1"))</f>
        <v> </v>
      </c>
      <c r="I114" s="501" t="str">
        <f t="shared" si="1"/>
        <v> </v>
      </c>
      <c r="J114" s="287"/>
      <c r="K114"/>
    </row>
    <row r="115" spans="1:11" ht="12.75">
      <c r="A115" s="34"/>
      <c r="B115" s="500" t="str">
        <f>IF(OR(C115&lt;'Excerpt WDH'!$B$31,C115&gt;'Excerpt WDH'!$E$31)," ",('Excerpt WDH'!G44)*('Excerpt WDH'!$G$25-'Excerpt WDH'!$G$26)/('Excerpt WDH'!$G$52))</f>
        <v> </v>
      </c>
      <c r="C115" s="113">
        <v>7</v>
      </c>
      <c r="D115" s="111" t="str">
        <f>IF(OR(C115&lt;'Excerpt WDH'!B$31,C115&gt;'Excerpt WDH'!E$31)," ",10*(C115-'Excerpt WDH'!B$31)/('Excerpt WDH'!E$31-'Excerpt WDH'!B$31))</f>
        <v> </v>
      </c>
      <c r="E115" s="45"/>
      <c r="F115" s="521">
        <f>IF(OR(C115&lt;B$126-0.1,C115&gt;C$126+0.1),"",'Excerpt WDH'!F44)</f>
      </c>
      <c r="G115" s="526" t="str">
        <f>IF(OR($C165&lt;'Excerpt WDH'!$B$31,$C165&gt;'Excerpt WDH'!$E$31,'Excerpt WDH'!$G$25&lt;'Excerpt WDH'!$E$31,'Excerpt WDH'!$G$25&gt;600)," ",IF($B165&gt;$G$13/200,100*$B165/$G$13,"&lt; 1"))</f>
        <v> </v>
      </c>
      <c r="H115" s="128" t="str">
        <f>IF(OR($C165&lt;'Excerpt WDH'!$B$31,$C165&gt;'Excerpt WDH'!$E$31,'Excerpt WDH'!$G$25&lt;601)," ",IF($B165&gt;$G$13/2000,100*$B165/$G$13,"&lt; 0,1"))</f>
        <v> </v>
      </c>
      <c r="I115" s="501" t="str">
        <f t="shared" si="1"/>
        <v> </v>
      </c>
      <c r="J115" s="287"/>
      <c r="K115"/>
    </row>
    <row r="116" spans="1:11" ht="12.75">
      <c r="A116" s="34"/>
      <c r="B116" s="500" t="str">
        <f>IF(OR(C116&lt;'Excerpt WDH'!$B$31,C116&gt;'Excerpt WDH'!$E$31)," ",('Excerpt WDH'!G45)*('Excerpt WDH'!$G$25-'Excerpt WDH'!$G$26)/('Excerpt WDH'!$G$52))</f>
        <v> </v>
      </c>
      <c r="C116" s="113">
        <v>6</v>
      </c>
      <c r="D116" s="111" t="str">
        <f>IF(OR(C116&lt;'Excerpt WDH'!B$31,C116&gt;'Excerpt WDH'!E$31)," ",10*(C116-'Excerpt WDH'!B$31)/('Excerpt WDH'!E$31-'Excerpt WDH'!B$31))</f>
        <v> </v>
      </c>
      <c r="E116" s="45"/>
      <c r="F116" s="521">
        <f>IF(OR(C116&lt;B$126-0.1,C116&gt;C$126+0.1),"",'Excerpt WDH'!F45)</f>
      </c>
      <c r="G116" s="526" t="str">
        <f>IF(OR($C166&lt;'Excerpt WDH'!$B$31,$C166&gt;'Excerpt WDH'!$E$31,'Excerpt WDH'!$G$25&lt;'Excerpt WDH'!$E$31,'Excerpt WDH'!$G$25&gt;600)," ",IF($B166&gt;$G$13/200,100*$B166/$G$13,"&lt; 1"))</f>
        <v> </v>
      </c>
      <c r="H116" s="128" t="str">
        <f>IF(OR($C166&lt;'Excerpt WDH'!$B$31,$C166&gt;'Excerpt WDH'!$E$31,'Excerpt WDH'!$G$25&lt;601)," ",IF($B166&gt;$G$13/2000,100*$B166/$G$13,"&lt; 0,1"))</f>
        <v> </v>
      </c>
      <c r="I116" s="501" t="str">
        <f t="shared" si="1"/>
        <v> </v>
      </c>
      <c r="J116" s="287"/>
      <c r="K116"/>
    </row>
    <row r="117" spans="1:11" ht="12.75">
      <c r="A117" s="34"/>
      <c r="B117" s="500" t="str">
        <f>IF(OR(C117&lt;'Excerpt WDH'!$B$31,C117&gt;'Excerpt WDH'!$E$31)," ",('Excerpt WDH'!G46)*('Excerpt WDH'!$G$25-'Excerpt WDH'!$G$26)/('Excerpt WDH'!$G$52))</f>
        <v> </v>
      </c>
      <c r="C117" s="113">
        <v>5</v>
      </c>
      <c r="D117" s="111" t="str">
        <f>IF(OR(C117&lt;'Excerpt WDH'!B$31,C117&gt;'Excerpt WDH'!E$31)," ",10*(C117-'Excerpt WDH'!B$31)/('Excerpt WDH'!E$31-'Excerpt WDH'!B$31))</f>
        <v> </v>
      </c>
      <c r="E117" s="45"/>
      <c r="F117" s="521">
        <f>IF(OR(C117&lt;B$126-0.1,C117&gt;C$126+0.1),"",'Excerpt WDH'!F46)</f>
      </c>
      <c r="G117" s="526" t="str">
        <f>IF(OR($C167&lt;'Excerpt WDH'!$B$31,$C167&gt;'Excerpt WDH'!$E$31,'Excerpt WDH'!$G$25&lt;'Excerpt WDH'!$E$31,'Excerpt WDH'!$G$25&gt;600)," ",IF($B167&gt;$G$13/200,100*$B167/$G$13,"&lt; 1"))</f>
        <v> </v>
      </c>
      <c r="H117" s="128" t="str">
        <f>IF(OR($C167&lt;'Excerpt WDH'!$B$31,$C167&gt;'Excerpt WDH'!$E$31,'Excerpt WDH'!$G$25&lt;601)," ",IF($B167&gt;$G$13/2000,100*$B167/$G$13,"&lt; 0,1"))</f>
        <v> </v>
      </c>
      <c r="I117" s="501" t="str">
        <f t="shared" si="1"/>
        <v> </v>
      </c>
      <c r="J117" s="287"/>
      <c r="K117"/>
    </row>
    <row r="118" spans="1:11" ht="12.75">
      <c r="A118" s="34"/>
      <c r="B118" s="500" t="str">
        <f>IF(OR(C118&lt;'Excerpt WDH'!$B$31,C118&gt;'Excerpt WDH'!$E$31)," ",('Excerpt WDH'!G47)*('Excerpt WDH'!$G$25-'Excerpt WDH'!$G$26)/('Excerpt WDH'!$G$52))</f>
        <v> </v>
      </c>
      <c r="C118" s="113">
        <v>4</v>
      </c>
      <c r="D118" s="111" t="str">
        <f>IF(OR(C118&lt;'Excerpt WDH'!B$31,C118&gt;'Excerpt WDH'!E$31)," ",10*(C118-'Excerpt WDH'!B$31)/('Excerpt WDH'!E$31-'Excerpt WDH'!B$31))</f>
        <v> </v>
      </c>
      <c r="E118" s="45"/>
      <c r="F118" s="521">
        <f>IF(OR(C118&lt;B$126-0.1,C118&gt;C$126+0.1),"",'Excerpt WDH'!F47)</f>
      </c>
      <c r="G118" s="526" t="str">
        <f>IF(OR($C168&lt;'Excerpt WDH'!$B$31,$C168&gt;'Excerpt WDH'!$E$31,'Excerpt WDH'!$G$25&lt;'Excerpt WDH'!$E$31,'Excerpt WDH'!$G$25&gt;600)," ",IF($B168&gt;$G$13/200,100*$B168/$G$13,"&lt; 1"))</f>
        <v> </v>
      </c>
      <c r="H118" s="128" t="str">
        <f>IF(OR($C168&lt;'Excerpt WDH'!$B$31,$C168&gt;'Excerpt WDH'!$E$31,'Excerpt WDH'!$G$25&lt;601)," ",IF($B168&gt;$G$13/2000,100*$B168/$G$13,"&lt; 0,1"))</f>
        <v> </v>
      </c>
      <c r="I118" s="501" t="str">
        <f t="shared" si="1"/>
        <v> </v>
      </c>
      <c r="J118" s="287"/>
      <c r="K118"/>
    </row>
    <row r="119" spans="1:11" ht="12.75">
      <c r="A119" s="34"/>
      <c r="B119" s="500">
        <f>IF(OR(C119&lt;'Excerpt WDH'!$B$31,C119&gt;'Excerpt WDH'!$E$31)," ",('Excerpt WDH'!G48)*('Excerpt WDH'!$G$25-'Excerpt WDH'!$G$26)/('Excerpt WDH'!$G$52))</f>
        <v>60</v>
      </c>
      <c r="C119" s="113">
        <v>3</v>
      </c>
      <c r="D119" s="111">
        <f>IF(OR(C119&lt;'Excerpt WDH'!B$31,C119&gt;'Excerpt WDH'!E$31)," ",10*(C119-'Excerpt WDH'!B$31)/('Excerpt WDH'!E$31-'Excerpt WDH'!B$31))</f>
        <v>10</v>
      </c>
      <c r="E119" s="45"/>
      <c r="F119" s="521">
        <f>IF(OR(C119&lt;B$126-0.1,C119&gt;C$126+0.1),"",'Excerpt WDH'!F48)</f>
        <v>3</v>
      </c>
      <c r="G119" s="526">
        <f>IF(OR($C169&lt;'Excerpt WDH'!$B$31,$C169&gt;'Excerpt WDH'!$E$31,'Excerpt WDH'!$G$25&lt;'Excerpt WDH'!$E$31,'Excerpt WDH'!$G$25&gt;600)," ",IF($B169&gt;$G$13/200,100*$B169/$G$13,"&lt; 1"))</f>
        <v>60</v>
      </c>
      <c r="H119" s="128" t="str">
        <f>IF(OR($C169&lt;'Excerpt WDH'!$B$31,$C169&gt;'Excerpt WDH'!$E$31,'Excerpt WDH'!$G$25&lt;601)," ",IF($B169&gt;$G$13/2000,100*$B169/$G$13,"&lt; 0,1"))</f>
        <v> </v>
      </c>
      <c r="I119" s="501" t="str">
        <f t="shared" si="1"/>
        <v> </v>
      </c>
      <c r="J119" s="287"/>
      <c r="K119"/>
    </row>
    <row r="120" spans="1:11" ht="12.75">
      <c r="A120" s="34"/>
      <c r="B120" s="500">
        <f>IF(OR(C120&lt;'Excerpt WDH'!$B$31,C120&gt;'Excerpt WDH'!$E$31)," ",('Excerpt WDH'!G49)*('Excerpt WDH'!$G$25-'Excerpt WDH'!$G$26)/('Excerpt WDH'!$G$52))</f>
        <v>20</v>
      </c>
      <c r="C120" s="113">
        <v>2</v>
      </c>
      <c r="D120" s="111">
        <f>IF(OR(C120&lt;'Excerpt WDH'!B$31,C120&gt;'Excerpt WDH'!E$31)," ",10*(C120-'Excerpt WDH'!B$31)/('Excerpt WDH'!E$31-'Excerpt WDH'!B$31))</f>
        <v>5</v>
      </c>
      <c r="E120" s="45"/>
      <c r="F120" s="521">
        <f>IF(OR(C120&lt;B$126-0.1,C120&gt;C$126+0.1),"",'Excerpt WDH'!F49)</f>
        <v>2</v>
      </c>
      <c r="G120" s="526">
        <f>IF(OR($C170&lt;'Excerpt WDH'!$B$31,$C170&gt;'Excerpt WDH'!$E$31,'Excerpt WDH'!$G$25&lt;'Excerpt WDH'!$E$31,'Excerpt WDH'!$G$25&gt;600)," ",IF($B170&gt;$G$13/200,100*$B170/$G$13,"&lt; 1"))</f>
        <v>20</v>
      </c>
      <c r="H120" s="128" t="str">
        <f>IF(OR($C170&lt;'Excerpt WDH'!$B$31,$C170&gt;'Excerpt WDH'!$E$31,'Excerpt WDH'!$G$25&lt;601)," ",IF($B170&gt;$G$13/2000,100*$B170/$G$13,"&lt; 0,1"))</f>
        <v> </v>
      </c>
      <c r="I120" s="501" t="str">
        <f t="shared" si="1"/>
        <v> </v>
      </c>
      <c r="J120" s="287"/>
      <c r="K120"/>
    </row>
    <row r="121" spans="1:11" ht="12.75">
      <c r="A121" s="34"/>
      <c r="B121" s="500">
        <f>IF(OR(C121&lt;'Excerpt WDH'!$B$31,C121&gt;'Excerpt WDH'!$E$31)," ",('Excerpt WDH'!G50)*('Excerpt WDH'!$G$25-'Excerpt WDH'!$G$26)/('Excerpt WDH'!$G$52))</f>
        <v>20</v>
      </c>
      <c r="C121" s="113">
        <v>1</v>
      </c>
      <c r="D121" s="111">
        <f>IF(OR(C121&lt;'Excerpt WDH'!B$31,C121&gt;'Excerpt WDH'!E$31)," ",10*(C121-'Excerpt WDH'!B$31)/('Excerpt WDH'!E$31-'Excerpt WDH'!B$31))</f>
        <v>0</v>
      </c>
      <c r="E121" s="45"/>
      <c r="F121" s="521">
        <f>IF(OR(C121&lt;B$126-0.1,C121&gt;C$126+0.1),"",'Excerpt WDH'!F50)</f>
        <v>1</v>
      </c>
      <c r="G121" s="526">
        <f>IF(OR($C171&lt;'Excerpt WDH'!$B$31,$C171&gt;'Excerpt WDH'!$E$31,'Excerpt WDH'!$G$25&lt;'Excerpt WDH'!$E$31,'Excerpt WDH'!$G$25&gt;600)," ",IF($B171&gt;$G$13/200,100*$B171/$G$13,"&lt; 1"))</f>
        <v>20</v>
      </c>
      <c r="H121" s="128" t="str">
        <f>IF(OR($C171&lt;'Excerpt WDH'!$B$31,$C171&gt;'Excerpt WDH'!$E$31,'Excerpt WDH'!$G$25&lt;601)," ",IF($B171&gt;$G$13/2000,100*$B171/$G$13,"&lt; 0,1"))</f>
        <v> </v>
      </c>
      <c r="I121" s="501" t="str">
        <f t="shared" si="1"/>
        <v> </v>
      </c>
      <c r="J121" s="287"/>
      <c r="K121"/>
    </row>
    <row r="122" spans="1:11" ht="13.5" thickBot="1">
      <c r="A122" s="34"/>
      <c r="B122" s="500" t="str">
        <f>IF(OR(C122&lt;'Excerpt WDH'!$B$31,C122&gt;'Excerpt WDH'!$E$31)," ",('Excerpt WDH'!G51)*('Excerpt WDH'!$G$25-'Excerpt WDH'!$G$26)/('Excerpt WDH'!$G$52))</f>
        <v> </v>
      </c>
      <c r="C122" s="114">
        <v>0</v>
      </c>
      <c r="D122" s="112" t="str">
        <f>IF(OR(C122&lt;'Excerpt WDH'!B$31,C122&gt;'Excerpt WDH'!E$31)," ",10*(C122-'Excerpt WDH'!B$31)/('Excerpt WDH'!E$31-'Excerpt WDH'!B$31))</f>
        <v> </v>
      </c>
      <c r="E122" s="45"/>
      <c r="F122" s="522">
        <f>IF(OR(C122&lt;B$126-0.1,C122&gt;C$126+0.1),"",'Excerpt WDH'!F51)</f>
      </c>
      <c r="G122" s="528" t="str">
        <f>IF(OR($C172&lt;'Excerpt WDH'!$B$31,$C172&gt;'Excerpt WDH'!$E$31,'Excerpt WDH'!$G$25&lt;'Excerpt WDH'!$E$31,'Excerpt WDH'!$G$25&gt;600)," ",IF($B172&gt;$G$13/200,100*$B172/$G$13,"&lt; 1"))</f>
        <v> </v>
      </c>
      <c r="H122" s="128" t="str">
        <f>IF(OR($C172&lt;'Excerpt WDH'!$B$31,$C172&gt;'Excerpt WDH'!$E$31,'Excerpt WDH'!$G$25&lt;601)," ",IF($B172&gt;$G$13/2000,100*$B172/$G$13,"&lt; 0,1"))</f>
        <v> </v>
      </c>
      <c r="I122" s="501" t="str">
        <f t="shared" si="1"/>
        <v> </v>
      </c>
      <c r="J122" s="287"/>
      <c r="K122"/>
    </row>
    <row r="123" spans="1:11" ht="13.5" thickBot="1">
      <c r="A123" s="34"/>
      <c r="B123" s="294">
        <f>'Excerpt WDH'!G53</f>
        <v>0</v>
      </c>
      <c r="C123" s="206" t="s">
        <v>53</v>
      </c>
      <c r="D123" s="166"/>
      <c r="E123" s="507" t="s">
        <v>76</v>
      </c>
      <c r="F123" s="167" t="s">
        <v>58</v>
      </c>
      <c r="G123" s="171">
        <f>IF(OR((SUM($B110:$B122))=(SUM($B110:$B123)),'Excerpt WDH'!G25&gt;600),"",100*$B123/(SUM($B110:$B123)))</f>
      </c>
      <c r="H123" s="168">
        <f>IF(OR((SUM($B110:$B122))=(SUM($B110:$B123)),'Excerpt WDH'!G25&lt;601),"",100*$B123/(SUM($B110:$B123)))</f>
      </c>
      <c r="I123" s="181"/>
      <c r="J123" s="287"/>
      <c r="K123"/>
    </row>
    <row r="124" spans="1:11" ht="13.5" thickBot="1">
      <c r="A124" s="34"/>
      <c r="B124" s="249" t="s">
        <v>54</v>
      </c>
      <c r="C124" s="207"/>
      <c r="D124" s="208"/>
      <c r="E124" s="508">
        <v>2</v>
      </c>
      <c r="F124" s="176"/>
      <c r="G124" s="177"/>
      <c r="H124" s="183" t="s">
        <v>59</v>
      </c>
      <c r="I124" s="182">
        <f>MAX((SUM(G110:G122)),(SUM(H110:H122)))</f>
        <v>100</v>
      </c>
      <c r="J124" s="287"/>
      <c r="K124"/>
    </row>
    <row r="125" spans="1:26" ht="12.75">
      <c r="A125" s="34"/>
      <c r="B125" s="6"/>
      <c r="C125" s="6"/>
      <c r="D125" s="6"/>
      <c r="E125" s="6"/>
      <c r="F125" s="6"/>
      <c r="G125" s="6"/>
      <c r="H125" s="6"/>
      <c r="I125" s="5"/>
      <c r="J125" s="287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1:10" ht="12.75">
      <c r="A126" s="52"/>
      <c r="B126" s="460">
        <f>'Excerpt WDH'!B31</f>
        <v>1</v>
      </c>
      <c r="C126" s="460">
        <f>'Excerpt WDH'!E31</f>
        <v>3</v>
      </c>
      <c r="D126" s="460">
        <f>'Excerpt WDH'!C32</f>
        <v>0</v>
      </c>
      <c r="E126" s="67"/>
      <c r="F126" s="67"/>
      <c r="G126" s="67"/>
      <c r="H126" s="115"/>
      <c r="J126" s="287"/>
    </row>
    <row r="127" spans="1:10" ht="13.5" thickBot="1">
      <c r="A127" s="52"/>
      <c r="B127" s="67"/>
      <c r="C127" s="67"/>
      <c r="D127" s="67"/>
      <c r="E127" s="67"/>
      <c r="F127" s="67"/>
      <c r="G127" s="67"/>
      <c r="H127" s="115"/>
      <c r="I127" s="204"/>
      <c r="J127" s="287"/>
    </row>
    <row r="128" spans="1:68" ht="13.5" thickBot="1">
      <c r="A128" s="38"/>
      <c r="B128" s="20"/>
      <c r="C128" s="42"/>
      <c r="D128" s="42"/>
      <c r="E128" s="198" t="s">
        <v>72</v>
      </c>
      <c r="F128" s="199"/>
      <c r="G128" s="17"/>
      <c r="H128" s="17"/>
      <c r="I128" s="25"/>
      <c r="J128" s="276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</row>
    <row r="129" spans="1:68" ht="14.25" customHeight="1" thickBot="1">
      <c r="A129" s="34"/>
      <c r="B129" s="58"/>
      <c r="C129" s="505" t="s">
        <v>242</v>
      </c>
      <c r="D129" s="84">
        <f>G10</f>
        <v>100</v>
      </c>
      <c r="E129" s="102" t="s">
        <v>8</v>
      </c>
      <c r="F129" s="21"/>
      <c r="G129" s="503" t="s">
        <v>9</v>
      </c>
      <c r="H129" s="26"/>
      <c r="I129" s="5"/>
      <c r="J129" s="276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</row>
    <row r="130" spans="1:68" ht="12.75">
      <c r="A130" s="34"/>
      <c r="B130" s="82" t="s">
        <v>19</v>
      </c>
      <c r="C130" s="10" t="s">
        <v>26</v>
      </c>
      <c r="D130" s="7"/>
      <c r="E130" s="15" t="s">
        <v>40</v>
      </c>
      <c r="F130" s="16" t="s">
        <v>32</v>
      </c>
      <c r="G130" s="15" t="s">
        <v>33</v>
      </c>
      <c r="H130" s="457" t="s">
        <v>32</v>
      </c>
      <c r="I130" s="5"/>
      <c r="J130" s="276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</row>
    <row r="131" spans="1:68" ht="13.5" thickBot="1">
      <c r="A131" s="34"/>
      <c r="B131" s="83" t="s">
        <v>20</v>
      </c>
      <c r="C131" s="9" t="s">
        <v>0</v>
      </c>
      <c r="D131" s="9" t="s">
        <v>21</v>
      </c>
      <c r="E131" s="408">
        <f>SUM(E132:E144)</f>
        <v>220</v>
      </c>
      <c r="F131" s="409">
        <f>IF(G$10=0,"   ",+SUM(F132:F144))</f>
        <v>76</v>
      </c>
      <c r="G131" s="408">
        <f>SUM(G132:G144)</f>
        <v>600</v>
      </c>
      <c r="H131" s="410">
        <f>IF(G$10=0,"   ",+SUM(H132:H144))</f>
        <v>1900</v>
      </c>
      <c r="I131" s="5"/>
      <c r="J131" s="276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</row>
    <row r="132" spans="1:68" ht="12.75">
      <c r="A132" s="44" t="str">
        <f>IF(OR($C132&lt;'Excerpt WDH'!$B$31,$C132&gt;'Excerpt WDH'!$E$31)," ",B132)</f>
        <v> </v>
      </c>
      <c r="B132" s="411" t="str">
        <f aca="true" t="shared" si="2" ref="B132:C144">B87</f>
        <v> </v>
      </c>
      <c r="C132" s="412">
        <f t="shared" si="2"/>
        <v>12</v>
      </c>
      <c r="D132" s="413" t="str">
        <f>IF(OR($C132&lt;'Excerpt WDH'!$B$31,$C132&gt;'Excerpt WDH'!$E$31)," ",10*(C132-'Excerpt WDH'!B$31)/('Excerpt WDH'!E$31-'Excerpt WDH'!B$31))</f>
        <v> </v>
      </c>
      <c r="E132" s="414" t="str">
        <f>IF(OR($C132&lt;'Excerpt WDH'!$B$31,$C132&gt;'Excerpt WDH'!$E$31)," ",B132*C132)</f>
        <v> </v>
      </c>
      <c r="F132" s="414" t="str">
        <f>IF(OR($C132&lt;'Excerpt WDH'!$B$31,$C132&gt;'Excerpt WDH'!$E$31)," ",$B132*(C132-G$146)*(C132-G$146))</f>
        <v> </v>
      </c>
      <c r="G132" s="414" t="str">
        <f>IF(OR($C132&lt;'Excerpt WDH'!$B$31,$C132&gt;'Excerpt WDH'!$E$31)," ",B132*D132)</f>
        <v> </v>
      </c>
      <c r="H132" s="415" t="str">
        <f>IF(OR($C132&lt;'Excerpt WDH'!$B$31,$C132&gt;'Excerpt WDH'!$E$31)," ",$B132*(D132-I$146)*(D132-I$146))</f>
        <v> </v>
      </c>
      <c r="I132" s="5"/>
      <c r="J132" s="276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</row>
    <row r="133" spans="1:68" ht="12.75">
      <c r="A133" s="44" t="str">
        <f>IF(OR($C133&lt;'Excerpt WDH'!$B$31,$C133&gt;'Excerpt WDH'!$E$31)," ",B133)</f>
        <v> </v>
      </c>
      <c r="B133" s="416" t="str">
        <f t="shared" si="2"/>
        <v> </v>
      </c>
      <c r="C133" s="417">
        <f t="shared" si="2"/>
        <v>11</v>
      </c>
      <c r="D133" s="418" t="str">
        <f>IF(OR($C133&lt;'Excerpt WDH'!$B$31,$C133&gt;'Excerpt WDH'!$E$31)," ",10*(C133-'Excerpt WDH'!B$31)/('Excerpt WDH'!E$31-'Excerpt WDH'!B$31))</f>
        <v> </v>
      </c>
      <c r="E133" s="414" t="str">
        <f>IF(OR($C133&lt;'Excerpt WDH'!$B$31,$C133&gt;'Excerpt WDH'!$E$31)," ",B133*C133)</f>
        <v> </v>
      </c>
      <c r="F133" s="414" t="str">
        <f>IF(OR($C133&lt;'Excerpt WDH'!$B$31,$C133&gt;'Excerpt WDH'!$E$31)," ",$B133*(C133-G$146)*(C133-G$146))</f>
        <v> </v>
      </c>
      <c r="G133" s="414" t="str">
        <f>IF(OR($C133&lt;'Excerpt WDH'!$B$31,$C133&gt;'Excerpt WDH'!$E$31)," ",B133*D133)</f>
        <v> </v>
      </c>
      <c r="H133" s="415" t="str">
        <f>IF(OR($C133&lt;'Excerpt WDH'!$B$31,$C133&gt;'Excerpt WDH'!$E$31)," ",$B133*(D133-I$146)*(D133-I$146))</f>
        <v> </v>
      </c>
      <c r="I133" s="5"/>
      <c r="J133" s="276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</row>
    <row r="134" spans="1:68" ht="12.75">
      <c r="A134" s="44" t="str">
        <f>IF(OR($C134&lt;'Excerpt WDH'!$B$31,$C134&gt;'Excerpt WDH'!$E$31)," ",B134)</f>
        <v> </v>
      </c>
      <c r="B134" s="416" t="str">
        <f t="shared" si="2"/>
        <v> </v>
      </c>
      <c r="C134" s="417">
        <f t="shared" si="2"/>
        <v>10</v>
      </c>
      <c r="D134" s="418" t="str">
        <f>IF(OR($C134&lt;'Excerpt WDH'!$B$31,$C134&gt;'Excerpt WDH'!$E$31)," ",10*(C134-'Excerpt WDH'!B$31)/('Excerpt WDH'!E$31-'Excerpt WDH'!B$31))</f>
        <v> </v>
      </c>
      <c r="E134" s="414" t="str">
        <f>IF(OR($C134&lt;'Excerpt WDH'!$B$31,$C134&gt;'Excerpt WDH'!$E$31)," ",B134*C134)</f>
        <v> </v>
      </c>
      <c r="F134" s="414" t="str">
        <f>IF(OR($C134&lt;'Excerpt WDH'!$B$31,$C134&gt;'Excerpt WDH'!$E$31)," ",$B134*(C134-G$146)*(C134-G$146))</f>
        <v> </v>
      </c>
      <c r="G134" s="414" t="str">
        <f>IF(OR($C134&lt;'Excerpt WDH'!$B$31,$C134&gt;'Excerpt WDH'!$E$31)," ",B134*D134)</f>
        <v> </v>
      </c>
      <c r="H134" s="415" t="str">
        <f>IF(OR($C134&lt;'Excerpt WDH'!$B$31,$C134&gt;'Excerpt WDH'!$E$31)," ",$B134*(D134-I$146)*(D134-I$146))</f>
        <v> </v>
      </c>
      <c r="I134" s="5"/>
      <c r="J134" s="276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</row>
    <row r="135" spans="1:68" ht="12.75">
      <c r="A135" s="44" t="str">
        <f>IF(OR($C135&lt;'Excerpt WDH'!$B$31,$C135&gt;'Excerpt WDH'!$E$31)," ",B135)</f>
        <v> </v>
      </c>
      <c r="B135" s="416" t="str">
        <f t="shared" si="2"/>
        <v> </v>
      </c>
      <c r="C135" s="417">
        <f t="shared" si="2"/>
        <v>9</v>
      </c>
      <c r="D135" s="418" t="str">
        <f>IF(OR($C135&lt;'Excerpt WDH'!$B$31,$C135&gt;'Excerpt WDH'!$E$31)," ",10*(C135-'Excerpt WDH'!B$31)/('Excerpt WDH'!E$31-'Excerpt WDH'!B$31))</f>
        <v> </v>
      </c>
      <c r="E135" s="414" t="str">
        <f>IF(OR($C135&lt;'Excerpt WDH'!$B$31,$C135&gt;'Excerpt WDH'!$E$31)," ",B135*C135)</f>
        <v> </v>
      </c>
      <c r="F135" s="414" t="str">
        <f>IF(OR($C135&lt;'Excerpt WDH'!$B$31,$C135&gt;'Excerpt WDH'!$E$31)," ",$B135*(C135-G$146)*(C135-G$146))</f>
        <v> </v>
      </c>
      <c r="G135" s="414" t="str">
        <f>IF(OR($C135&lt;'Excerpt WDH'!$B$31,$C135&gt;'Excerpt WDH'!$E$31)," ",B135*D135)</f>
        <v> </v>
      </c>
      <c r="H135" s="415" t="str">
        <f>IF(OR($C135&lt;'Excerpt WDH'!$B$31,$C135&gt;'Excerpt WDH'!$E$31)," ",$B135*(D135-I$146)*(D135-I$146))</f>
        <v> </v>
      </c>
      <c r="I135" s="5"/>
      <c r="J135" s="276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</row>
    <row r="136" spans="1:68" ht="12.75">
      <c r="A136" s="44" t="str">
        <f>IF(OR($C136&lt;'Excerpt WDH'!$B$31,$C136&gt;'Excerpt WDH'!$E$31)," ",B136)</f>
        <v> </v>
      </c>
      <c r="B136" s="416" t="str">
        <f t="shared" si="2"/>
        <v> </v>
      </c>
      <c r="C136" s="417">
        <f t="shared" si="2"/>
        <v>8</v>
      </c>
      <c r="D136" s="418" t="str">
        <f>IF(OR($C136&lt;'Excerpt WDH'!$B$31,$C136&gt;'Excerpt WDH'!$E$31)," ",10*(C136-'Excerpt WDH'!B$31)/('Excerpt WDH'!E$31-'Excerpt WDH'!B$31))</f>
        <v> </v>
      </c>
      <c r="E136" s="414" t="str">
        <f>IF(OR($C136&lt;'Excerpt WDH'!$B$31,$C136&gt;'Excerpt WDH'!$E$31)," ",B136*C136)</f>
        <v> </v>
      </c>
      <c r="F136" s="414" t="str">
        <f>IF(OR($C136&lt;'Excerpt WDH'!$B$31,$C136&gt;'Excerpt WDH'!$E$31)," ",$B136*(C136-G$146)*(C136-G$146))</f>
        <v> </v>
      </c>
      <c r="G136" s="414" t="str">
        <f>IF(OR($C136&lt;'Excerpt WDH'!$B$31,$C136&gt;'Excerpt WDH'!$E$31)," ",B136*D136)</f>
        <v> </v>
      </c>
      <c r="H136" s="415" t="str">
        <f>IF(OR($C136&lt;'Excerpt WDH'!$B$31,$C136&gt;'Excerpt WDH'!$E$31)," ",$B136*(D136-I$146)*(D136-I$146))</f>
        <v> </v>
      </c>
      <c r="I136" s="5"/>
      <c r="J136" s="27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</row>
    <row r="137" spans="1:68" ht="12.75">
      <c r="A137" s="44" t="str">
        <f>IF(OR($C137&lt;'Excerpt WDH'!$B$31,$C137&gt;'Excerpt WDH'!$E$31)," ",B137)</f>
        <v> </v>
      </c>
      <c r="B137" s="416" t="str">
        <f t="shared" si="2"/>
        <v> </v>
      </c>
      <c r="C137" s="417">
        <f t="shared" si="2"/>
        <v>7</v>
      </c>
      <c r="D137" s="418" t="str">
        <f>IF(OR($C137&lt;'Excerpt WDH'!$B$31,$C137&gt;'Excerpt WDH'!$E$31)," ",10*(C137-'Excerpt WDH'!B$31)/('Excerpt WDH'!E$31-'Excerpt WDH'!B$31))</f>
        <v> </v>
      </c>
      <c r="E137" s="414" t="str">
        <f>IF(OR($C137&lt;'Excerpt WDH'!$B$31,$C137&gt;'Excerpt WDH'!$E$31)," ",B137*C137)</f>
        <v> </v>
      </c>
      <c r="F137" s="414" t="str">
        <f>IF(OR($C137&lt;'Excerpt WDH'!$B$31,$C137&gt;'Excerpt WDH'!$E$31)," ",$B137*(C137-G$146)*(C137-G$146))</f>
        <v> </v>
      </c>
      <c r="G137" s="414" t="str">
        <f>IF(OR($C137&lt;'Excerpt WDH'!$B$31,$C137&gt;'Excerpt WDH'!$E$31)," ",B137*D137)</f>
        <v> </v>
      </c>
      <c r="H137" s="415" t="str">
        <f>IF(OR($C137&lt;'Excerpt WDH'!$B$31,$C137&gt;'Excerpt WDH'!$E$31)," ",$B137*(D137-I$146)*(D137-I$146))</f>
        <v> </v>
      </c>
      <c r="I137" s="5"/>
      <c r="J137" s="276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</row>
    <row r="138" spans="1:68" ht="12.75">
      <c r="A138" s="44" t="str">
        <f>IF(OR($C138&lt;'Excerpt WDH'!$B$31,$C138&gt;'Excerpt WDH'!$E$31)," ",B138)</f>
        <v> </v>
      </c>
      <c r="B138" s="416" t="str">
        <f t="shared" si="2"/>
        <v> </v>
      </c>
      <c r="C138" s="417">
        <f t="shared" si="2"/>
        <v>6</v>
      </c>
      <c r="D138" s="418" t="str">
        <f>IF(OR($C138&lt;'Excerpt WDH'!$B$31,$C138&gt;'Excerpt WDH'!$E$31)," ",10*(C138-'Excerpt WDH'!B$31)/('Excerpt WDH'!E$31-'Excerpt WDH'!B$31))</f>
        <v> </v>
      </c>
      <c r="E138" s="414" t="str">
        <f>IF(OR($C138&lt;'Excerpt WDH'!$B$31,$C138&gt;'Excerpt WDH'!$E$31)," ",B138*C138)</f>
        <v> </v>
      </c>
      <c r="F138" s="414" t="str">
        <f>IF(OR($C138&lt;'Excerpt WDH'!$B$31,$C138&gt;'Excerpt WDH'!$E$31)," ",$B138*(C138-G$146)*(C138-G$146))</f>
        <v> </v>
      </c>
      <c r="G138" s="414" t="str">
        <f>IF(OR($C138&lt;'Excerpt WDH'!$B$31,$C138&gt;'Excerpt WDH'!$E$31)," ",B138*D138)</f>
        <v> </v>
      </c>
      <c r="H138" s="415" t="str">
        <f>IF(OR($C138&lt;'Excerpt WDH'!$B$31,$C138&gt;'Excerpt WDH'!$E$31)," ",$B138*(D138-I$146)*(D138-I$146))</f>
        <v> </v>
      </c>
      <c r="I138" s="5"/>
      <c r="J138" s="276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</row>
    <row r="139" spans="1:68" ht="12.75">
      <c r="A139" s="44" t="str">
        <f>IF(OR($C139&lt;'Excerpt WDH'!$B$31,$C139&gt;'Excerpt WDH'!$E$31)," ",B139)</f>
        <v> </v>
      </c>
      <c r="B139" s="416" t="str">
        <f t="shared" si="2"/>
        <v> </v>
      </c>
      <c r="C139" s="417">
        <f t="shared" si="2"/>
        <v>5</v>
      </c>
      <c r="D139" s="418" t="str">
        <f>IF(OR($C139&lt;'Excerpt WDH'!$B$31,$C139&gt;'Excerpt WDH'!$E$31)," ",10*(C139-'Excerpt WDH'!B$31)/('Excerpt WDH'!E$31-'Excerpt WDH'!B$31))</f>
        <v> </v>
      </c>
      <c r="E139" s="414" t="str">
        <f>IF(OR($C139&lt;'Excerpt WDH'!$B$31,$C139&gt;'Excerpt WDH'!$E$31)," ",B139*C139)</f>
        <v> </v>
      </c>
      <c r="F139" s="414" t="str">
        <f>IF(OR($C139&lt;'Excerpt WDH'!$B$31,$C139&gt;'Excerpt WDH'!$E$31)," ",$B139*(C139-G$146)*(C139-G$146))</f>
        <v> </v>
      </c>
      <c r="G139" s="414" t="str">
        <f>IF(OR($C139&lt;'Excerpt WDH'!$B$31,$C139&gt;'Excerpt WDH'!$E$31)," ",B139*D139)</f>
        <v> </v>
      </c>
      <c r="H139" s="415" t="str">
        <f>IF(OR($C139&lt;'Excerpt WDH'!$B$31,$C139&gt;'Excerpt WDH'!$E$31)," ",$B139*(D139-I$146)*(D139-I$146))</f>
        <v> </v>
      </c>
      <c r="I139" s="5"/>
      <c r="J139" s="276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</row>
    <row r="140" spans="1:68" ht="12.75">
      <c r="A140" s="44" t="str">
        <f>IF(OR($C140&lt;'Excerpt WDH'!$B$31,$C140&gt;'Excerpt WDH'!$E$31)," ",B140)</f>
        <v> </v>
      </c>
      <c r="B140" s="416" t="str">
        <f t="shared" si="2"/>
        <v> </v>
      </c>
      <c r="C140" s="417">
        <f t="shared" si="2"/>
        <v>4</v>
      </c>
      <c r="D140" s="418" t="str">
        <f>IF(OR($C140&lt;'Excerpt WDH'!$B$31,$C140&gt;'Excerpt WDH'!$E$31)," ",10*(C140-'Excerpt WDH'!B$31)/('Excerpt WDH'!E$31-'Excerpt WDH'!B$31))</f>
        <v> </v>
      </c>
      <c r="E140" s="414" t="str">
        <f>IF(OR($C140&lt;'Excerpt WDH'!$B$31,$C140&gt;'Excerpt WDH'!$E$31)," ",B140*C140)</f>
        <v> </v>
      </c>
      <c r="F140" s="414" t="str">
        <f>IF(OR($C140&lt;'Excerpt WDH'!$B$31,$C140&gt;'Excerpt WDH'!$E$31)," ",$B140*(C140-G$146)*(C140-G$146))</f>
        <v> </v>
      </c>
      <c r="G140" s="414" t="str">
        <f>IF(OR($C140&lt;'Excerpt WDH'!$B$31,$C140&gt;'Excerpt WDH'!$E$31)," ",B140*D140)</f>
        <v> </v>
      </c>
      <c r="H140" s="415" t="str">
        <f>IF(OR($C140&lt;'Excerpt WDH'!$B$31,$C140&gt;'Excerpt WDH'!$E$31)," ",$B140*(D140-I$146)*(D140-I$146))</f>
        <v> </v>
      </c>
      <c r="I140" s="5"/>
      <c r="J140" s="276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</row>
    <row r="141" spans="1:68" ht="12.75">
      <c r="A141" s="44">
        <f>IF(OR($C141&lt;'Excerpt WDH'!$B$31,$C141&gt;'Excerpt WDH'!$E$31)," ",B141)</f>
        <v>50</v>
      </c>
      <c r="B141" s="416">
        <f t="shared" si="2"/>
        <v>50</v>
      </c>
      <c r="C141" s="417">
        <f t="shared" si="2"/>
        <v>3</v>
      </c>
      <c r="D141" s="418">
        <f>IF(OR($C141&lt;'Excerpt WDH'!$B$31,$C141&gt;'Excerpt WDH'!$E$31)," ",10*(C141-'Excerpt WDH'!B$31)/('Excerpt WDH'!E$31-'Excerpt WDH'!B$31))</f>
        <v>10</v>
      </c>
      <c r="E141" s="414">
        <f>IF(OR($C141&lt;'Excerpt WDH'!$B$31,$C141&gt;'Excerpt WDH'!$E$31)," ",B141*C141)</f>
        <v>150</v>
      </c>
      <c r="F141" s="414">
        <f>IF(OR($C141&lt;'Excerpt WDH'!$B$31,$C141&gt;'Excerpt WDH'!$E$31)," ",$B141*(C141-G$146)*(C141-G$146))</f>
        <v>31.999999999999986</v>
      </c>
      <c r="G141" s="414">
        <f>IF(OR($C141&lt;'Excerpt WDH'!$B$31,$C141&gt;'Excerpt WDH'!$E$31)," ",B141*D141)</f>
        <v>500</v>
      </c>
      <c r="H141" s="415">
        <f>IF(OR($C141&lt;'Excerpt WDH'!$B$31,$C141&gt;'Excerpt WDH'!$E$31)," ",$B141*(D141-I$146)*(D141-I$146))</f>
        <v>800</v>
      </c>
      <c r="I141" s="5"/>
      <c r="J141" s="276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</row>
    <row r="142" spans="1:68" ht="12.75">
      <c r="A142" s="44">
        <f>IF(OR($C142&lt;'Excerpt WDH'!$B$31,$C142&gt;'Excerpt WDH'!$E$31)," ",B142)</f>
        <v>20</v>
      </c>
      <c r="B142" s="416">
        <f t="shared" si="2"/>
        <v>20</v>
      </c>
      <c r="C142" s="417">
        <f t="shared" si="2"/>
        <v>2</v>
      </c>
      <c r="D142" s="418">
        <f>IF(OR($C142&lt;'Excerpt WDH'!$B$31,$C142&gt;'Excerpt WDH'!$E$31)," ",10*(C142-'Excerpt WDH'!B$31)/('Excerpt WDH'!E$31-'Excerpt WDH'!B$31))</f>
        <v>5</v>
      </c>
      <c r="E142" s="414">
        <f>IF(OR($C142&lt;'Excerpt WDH'!$B$31,$C142&gt;'Excerpt WDH'!$E$31)," ",B142*C142)</f>
        <v>40</v>
      </c>
      <c r="F142" s="414">
        <f>IF(OR($C142&lt;'Excerpt WDH'!$B$31,$C142&gt;'Excerpt WDH'!$E$31)," ",$B142*(C142-G$146)*(C142-G$146))</f>
        <v>0.8000000000000014</v>
      </c>
      <c r="G142" s="414">
        <f>IF(OR($C142&lt;'Excerpt WDH'!$B$31,$C142&gt;'Excerpt WDH'!$E$31)," ",B142*D142)</f>
        <v>100</v>
      </c>
      <c r="H142" s="415">
        <f>IF(OR($C142&lt;'Excerpt WDH'!$B$31,$C142&gt;'Excerpt WDH'!$E$31)," ",$B142*(D142-I$146)*(D142-I$146))</f>
        <v>20</v>
      </c>
      <c r="I142" s="5"/>
      <c r="J142" s="276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</row>
    <row r="143" spans="1:68" ht="12.75">
      <c r="A143" s="44">
        <f>IF(OR($C143&lt;'Excerpt WDH'!$B$31,$C143&gt;'Excerpt WDH'!$E$31)," ",B143)</f>
        <v>30</v>
      </c>
      <c r="B143" s="416">
        <f t="shared" si="2"/>
        <v>30</v>
      </c>
      <c r="C143" s="417">
        <f t="shared" si="2"/>
        <v>1</v>
      </c>
      <c r="D143" s="418">
        <f>IF(OR($C143&lt;'Excerpt WDH'!$B$31,$C143&gt;'Excerpt WDH'!$E$31)," ",10*(C143-'Excerpt WDH'!B$31)/('Excerpt WDH'!E$31-'Excerpt WDH'!B$31))</f>
        <v>0</v>
      </c>
      <c r="E143" s="414">
        <f>IF(OR($C143&lt;'Excerpt WDH'!$B$31,$C143&gt;'Excerpt WDH'!$E$31)," ",B143*C143)</f>
        <v>30</v>
      </c>
      <c r="F143" s="414">
        <f>IF(OR($C143&lt;'Excerpt WDH'!$B$31,$C143&gt;'Excerpt WDH'!$E$31)," ",$B143*(C143-G$146)*(C143-G$146))</f>
        <v>43.20000000000002</v>
      </c>
      <c r="G143" s="414">
        <f>IF(OR($C143&lt;'Excerpt WDH'!$B$31,$C143&gt;'Excerpt WDH'!$E$31)," ",B143*D143)</f>
        <v>0</v>
      </c>
      <c r="H143" s="415">
        <f>IF(OR($C143&lt;'Excerpt WDH'!$B$31,$C143&gt;'Excerpt WDH'!$E$31)," ",$B143*(D143-I$146)*(D143-I$146))</f>
        <v>1080</v>
      </c>
      <c r="I143" s="5"/>
      <c r="J143" s="276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</row>
    <row r="144" spans="1:14" ht="13.5" thickBot="1">
      <c r="A144" s="44" t="str">
        <f>IF(OR($C144&lt;'Excerpt WDH'!$B$31,$C144&gt;'Excerpt WDH'!$E$31)," ",B144)</f>
        <v> </v>
      </c>
      <c r="B144" s="416" t="str">
        <f t="shared" si="2"/>
        <v> </v>
      </c>
      <c r="C144" s="417">
        <f t="shared" si="2"/>
        <v>0</v>
      </c>
      <c r="D144" s="418" t="str">
        <f>IF(OR($C144&lt;'Excerpt WDH'!$B$31,$C144&gt;'Excerpt WDH'!$E$31)," ",10*(C144-'Excerpt WDH'!B$31)/('Excerpt WDH'!E$31-'Excerpt WDH'!B$31))</f>
        <v> </v>
      </c>
      <c r="E144" s="414" t="str">
        <f>IF(OR($C144&lt;'Excerpt WDH'!$B$31,$C144&gt;'Excerpt WDH'!$E$31)," ",B144*C144)</f>
        <v> </v>
      </c>
      <c r="F144" s="414" t="str">
        <f>IF(OR($C144&lt;'Excerpt WDH'!$B$31,$C144&gt;'Excerpt WDH'!$E$31)," ",$B144*(C144-G$146)*(C144-G$146))</f>
        <v> </v>
      </c>
      <c r="G144" s="414" t="str">
        <f>IF(OR($C144&lt;'Excerpt WDH'!$B$31,$C144&gt;'Excerpt WDH'!$E$31)," ",B144*D144)</f>
        <v> </v>
      </c>
      <c r="H144" s="415" t="str">
        <f>IF(OR($C144&lt;'Excerpt WDH'!$B$31,$C144&gt;'Excerpt WDH'!$E$31)," ",$B144*(D144-I$146)*(D144-I$146))</f>
        <v> </v>
      </c>
      <c r="I144" s="5"/>
      <c r="J144" s="276"/>
      <c r="K144"/>
      <c r="L144"/>
      <c r="M144"/>
      <c r="N144"/>
    </row>
    <row r="145" spans="1:14" ht="12.75">
      <c r="A145" s="131" t="s">
        <v>45</v>
      </c>
      <c r="B145" s="105"/>
      <c r="C145" s="510" t="str">
        <f>IF('Excerpt WDH'!$C$32=1,"AFTER SCALE REVERSION !"," ")</f>
        <v> </v>
      </c>
      <c r="D145" s="105"/>
      <c r="E145" s="105"/>
      <c r="F145" s="105"/>
      <c r="G145" s="140" t="s">
        <v>3</v>
      </c>
      <c r="H145" s="105"/>
      <c r="I145" s="141" t="s">
        <v>5</v>
      </c>
      <c r="J145" s="67"/>
      <c r="K145"/>
      <c r="L145"/>
      <c r="M145"/>
      <c r="N145"/>
    </row>
    <row r="146" spans="1:14" ht="12.75">
      <c r="A146" s="132"/>
      <c r="B146" s="133"/>
      <c r="C146" s="133"/>
      <c r="D146" s="133"/>
      <c r="E146" s="133"/>
      <c r="F146" s="73" t="s">
        <v>6</v>
      </c>
      <c r="G146" s="134">
        <f>IF($G$10=0,"     ",+E131/$G$10)</f>
        <v>2.2</v>
      </c>
      <c r="H146" s="12"/>
      <c r="I146" s="135">
        <f>IF($G$10=0,"     ",+G131/$G$10)</f>
        <v>6</v>
      </c>
      <c r="J146" s="67"/>
      <c r="K146"/>
      <c r="L146"/>
      <c r="M146"/>
      <c r="N146"/>
    </row>
    <row r="147" spans="1:14" ht="12.75">
      <c r="A147" s="132"/>
      <c r="B147" s="133"/>
      <c r="C147" s="133"/>
      <c r="D147" s="133"/>
      <c r="E147" s="133"/>
      <c r="F147" s="73" t="s">
        <v>30</v>
      </c>
      <c r="G147" s="136">
        <f>G$146-(TINV(0.05,$H$149))*G150/(SQRT($G$10))</f>
        <v>2.026148539617803</v>
      </c>
      <c r="H147" s="12"/>
      <c r="I147" s="137">
        <f>I$146-(TINV(0.05,$H$149))*I150/(SQRT($G$10))</f>
        <v>5.130742698089015</v>
      </c>
      <c r="J147" s="67"/>
      <c r="K147"/>
      <c r="L147"/>
      <c r="M147"/>
      <c r="N147"/>
    </row>
    <row r="148" spans="1:14" ht="12.75">
      <c r="A148" s="132"/>
      <c r="B148" s="133"/>
      <c r="C148" s="133"/>
      <c r="D148" s="133"/>
      <c r="E148" s="133"/>
      <c r="F148" s="73" t="s">
        <v>31</v>
      </c>
      <c r="G148" s="136">
        <f>G$146+(TINV(0.05,$H$149))*G150/(SQRT($G$10))</f>
        <v>2.3738514603821974</v>
      </c>
      <c r="H148" s="12"/>
      <c r="I148" s="137">
        <f>I$146+(TINV(0.05,$H$149))*I150/(SQRT($G$10))</f>
        <v>6.869257301910985</v>
      </c>
      <c r="J148" s="67"/>
      <c r="K148"/>
      <c r="L148"/>
      <c r="M148"/>
      <c r="N148"/>
    </row>
    <row r="149" spans="1:14" ht="12.75">
      <c r="A149" s="132"/>
      <c r="B149" s="133"/>
      <c r="C149" s="133"/>
      <c r="D149" s="133"/>
      <c r="E149" s="133"/>
      <c r="F149" s="73" t="s">
        <v>27</v>
      </c>
      <c r="G149" s="136">
        <f>IF(G10&lt;2,"   ",+F131/(G10-1))</f>
        <v>0.7676767676767676</v>
      </c>
      <c r="H149" s="419">
        <f>G10-1</f>
        <v>99</v>
      </c>
      <c r="I149" s="137">
        <f>IF(G10&lt;2,"   ",+H131/(G10-1))</f>
        <v>19.19191919191919</v>
      </c>
      <c r="J149" s="67"/>
      <c r="K149"/>
      <c r="L149"/>
      <c r="M149"/>
      <c r="N149"/>
    </row>
    <row r="150" spans="1:14" ht="12.75">
      <c r="A150" s="142"/>
      <c r="B150" s="143"/>
      <c r="C150" s="143"/>
      <c r="D150" s="143"/>
      <c r="E150" s="143"/>
      <c r="F150" s="144" t="s">
        <v>28</v>
      </c>
      <c r="G150" s="136">
        <f>IF($G$10=0,"      ",+SQRT(G149))</f>
        <v>0.8761716542303613</v>
      </c>
      <c r="H150" s="158" t="s">
        <v>41</v>
      </c>
      <c r="I150" s="137">
        <f>IF($G$10=0,"      ",+SQRT(I149))</f>
        <v>4.380858271151806</v>
      </c>
      <c r="J150" s="67"/>
      <c r="K150"/>
      <c r="L150"/>
      <c r="M150"/>
      <c r="N150"/>
    </row>
    <row r="151" spans="1:14" ht="12.75">
      <c r="A151" s="513" t="str">
        <f>IF('Excerpt WDH'!$C$32=1,"STATISTICS BEFORE SCALE REVERSION"," ")</f>
        <v> </v>
      </c>
      <c r="B151" s="133"/>
      <c r="C151" s="12"/>
      <c r="D151" s="12"/>
      <c r="E151" s="12"/>
      <c r="F151" s="138"/>
      <c r="G151" s="145" t="s">
        <v>3</v>
      </c>
      <c r="H151" s="115"/>
      <c r="I151" s="146" t="s">
        <v>5</v>
      </c>
      <c r="J151" s="67"/>
      <c r="K151"/>
      <c r="L151"/>
      <c r="M151"/>
      <c r="N151"/>
    </row>
    <row r="152" spans="1:14" ht="12.75">
      <c r="A152" s="132"/>
      <c r="B152" s="133"/>
      <c r="C152" s="133"/>
      <c r="D152" s="133"/>
      <c r="E152" s="133"/>
      <c r="F152" s="139" t="s">
        <v>6</v>
      </c>
      <c r="G152" s="134">
        <f>IF(D126=1,'Excerpt WDH'!$E$31+'Excerpt WDH'!$B$31-G146,"")</f>
      </c>
      <c r="H152" s="115"/>
      <c r="I152" s="135">
        <f>IF(D126=1,10-I146,"")</f>
      </c>
      <c r="J152" s="67"/>
      <c r="K152"/>
      <c r="L152"/>
      <c r="M152"/>
      <c r="N152"/>
    </row>
    <row r="153" spans="1:14" ht="12.75">
      <c r="A153" s="132"/>
      <c r="B153" s="133"/>
      <c r="C153" s="133"/>
      <c r="D153" s="133"/>
      <c r="E153" s="133"/>
      <c r="F153" s="73" t="s">
        <v>30</v>
      </c>
      <c r="G153" s="134">
        <f>IF(D126=1,'Excerpt WDH'!$E$31+'Excerpt WDH'!$B$31-G148,"")</f>
      </c>
      <c r="H153" s="115"/>
      <c r="I153" s="135">
        <f>IF(D126=1,10-I148,"")</f>
      </c>
      <c r="J153" s="67"/>
      <c r="K153"/>
      <c r="L153"/>
      <c r="M153"/>
      <c r="N153"/>
    </row>
    <row r="154" spans="1:14" ht="13.5" thickBot="1">
      <c r="A154" s="186"/>
      <c r="B154" s="187"/>
      <c r="C154" s="187"/>
      <c r="D154" s="187"/>
      <c r="E154" s="187"/>
      <c r="F154" s="210" t="s">
        <v>31</v>
      </c>
      <c r="G154" s="211">
        <f>IF(D126=1,'Excerpt WDH'!$E$31+'Excerpt WDH'!$B$31-G147,"")</f>
      </c>
      <c r="H154" s="116"/>
      <c r="I154" s="212">
        <f>IF(D126=1,10-I147,"")</f>
      </c>
      <c r="J154" s="67"/>
      <c r="K154"/>
      <c r="L154"/>
      <c r="M154"/>
      <c r="N154"/>
    </row>
    <row r="155" spans="1:14" s="11" customFormat="1" ht="13.5" thickBot="1">
      <c r="A155" s="213"/>
      <c r="B155" s="214"/>
      <c r="C155" s="214"/>
      <c r="D155" s="214"/>
      <c r="E155" s="214"/>
      <c r="F155" s="215"/>
      <c r="G155" s="108"/>
      <c r="H155" s="216"/>
      <c r="I155" s="217"/>
      <c r="J155" s="296"/>
      <c r="K155" s="209"/>
      <c r="L155" s="209"/>
      <c r="M155" s="209"/>
      <c r="N155" s="209"/>
    </row>
    <row r="156" spans="1:14" s="11" customFormat="1" ht="13.5" thickBot="1">
      <c r="A156" s="132"/>
      <c r="B156" s="133"/>
      <c r="C156" s="133"/>
      <c r="D156" s="133"/>
      <c r="E156" s="198" t="s">
        <v>71</v>
      </c>
      <c r="F156" s="199"/>
      <c r="G156" s="74"/>
      <c r="H156" s="115"/>
      <c r="I156" s="75"/>
      <c r="J156" s="296"/>
      <c r="K156" s="209"/>
      <c r="L156" s="209"/>
      <c r="M156" s="209"/>
      <c r="N156" s="209"/>
    </row>
    <row r="157" spans="1:14" s="11" customFormat="1" ht="13.5" thickBot="1">
      <c r="A157" s="34"/>
      <c r="B157" s="58"/>
      <c r="C157" s="505" t="s">
        <v>242</v>
      </c>
      <c r="D157" s="84">
        <f>G13</f>
        <v>100</v>
      </c>
      <c r="E157" s="102" t="s">
        <v>8</v>
      </c>
      <c r="F157" s="21"/>
      <c r="G157" s="456" t="s">
        <v>9</v>
      </c>
      <c r="H157" s="26"/>
      <c r="I157" s="5"/>
      <c r="J157" s="296"/>
      <c r="K157" s="209"/>
      <c r="L157" s="209"/>
      <c r="M157" s="209"/>
      <c r="N157" s="209"/>
    </row>
    <row r="158" spans="1:14" s="11" customFormat="1" ht="12.75">
      <c r="A158" s="34"/>
      <c r="B158" s="82" t="s">
        <v>19</v>
      </c>
      <c r="C158" s="10" t="s">
        <v>26</v>
      </c>
      <c r="D158" s="7"/>
      <c r="E158" s="15" t="s">
        <v>40</v>
      </c>
      <c r="F158" s="16" t="s">
        <v>32</v>
      </c>
      <c r="G158" s="15" t="s">
        <v>33</v>
      </c>
      <c r="H158" s="457" t="s">
        <v>32</v>
      </c>
      <c r="I158" s="5"/>
      <c r="J158" s="296"/>
      <c r="K158" s="209"/>
      <c r="L158" s="209"/>
      <c r="M158" s="209"/>
      <c r="N158" s="209"/>
    </row>
    <row r="159" spans="1:14" s="11" customFormat="1" ht="13.5" thickBot="1">
      <c r="A159" s="34"/>
      <c r="B159" s="83" t="s">
        <v>20</v>
      </c>
      <c r="C159" s="9" t="s">
        <v>0</v>
      </c>
      <c r="D159" s="110" t="s">
        <v>21</v>
      </c>
      <c r="E159" s="408">
        <f>SUM(E160:E172)</f>
        <v>240</v>
      </c>
      <c r="F159" s="409">
        <f>IF(G$13=0,"   ",+SUM(F160:F172))</f>
        <v>64</v>
      </c>
      <c r="G159" s="408">
        <f>SUM(G160:G172)</f>
        <v>700</v>
      </c>
      <c r="H159" s="410">
        <f>IF(G$13=0,"   ",+SUM(H160:H172))</f>
        <v>1600</v>
      </c>
      <c r="I159" s="5"/>
      <c r="J159" s="296"/>
      <c r="K159" s="209"/>
      <c r="L159" s="209"/>
      <c r="M159" s="209"/>
      <c r="N159" s="209"/>
    </row>
    <row r="160" spans="1:14" s="11" customFormat="1" ht="12.75">
      <c r="A160" s="44" t="str">
        <f>IF(OR($C160&lt;'Excerpt WDH'!$B$31,$C160&gt;'Excerpt WDH'!$E$31)," ",B160)</f>
        <v> </v>
      </c>
      <c r="B160" s="411" t="str">
        <f aca="true" t="shared" si="3" ref="B160:C172">B110</f>
        <v> </v>
      </c>
      <c r="C160" s="412">
        <f t="shared" si="3"/>
        <v>12</v>
      </c>
      <c r="D160" s="413" t="str">
        <f>IF(OR(C160&lt;'Excerpt WDH'!B$31,C160&gt;'Excerpt WDH'!E$31)," ",10*(C160-'Excerpt WDH'!B$31)/('Excerpt WDH'!E$31-'Excerpt WDH'!B$31))</f>
        <v> </v>
      </c>
      <c r="E160" s="414" t="str">
        <f>IF(OR($C160&lt;'Excerpt WDH'!$B$31,$C160&gt;'Excerpt WDH'!$E$31)," ",B160*C160)</f>
        <v> </v>
      </c>
      <c r="F160" s="414" t="str">
        <f>IF(OR($C160&lt;'Excerpt WDH'!$B$31,$C160&gt;'Excerpt WDH'!$E$31)," ",$B160*(C160-G$174)*(C160-G$174))</f>
        <v> </v>
      </c>
      <c r="G160" s="414" t="str">
        <f>IF(OR($C160&lt;'Excerpt WDH'!$B$31,$C160&gt;'Excerpt WDH'!$E$31)," ",B160*D160)</f>
        <v> </v>
      </c>
      <c r="H160" s="415" t="str">
        <f>IF(OR($C160&lt;'Excerpt WDH'!$B$31,$C160&gt;'Excerpt WDH'!$E$31)," ",$B160*(D160-I$174)*(D160-I$174))</f>
        <v> </v>
      </c>
      <c r="I160" s="5"/>
      <c r="J160" s="358" t="str">
        <f>A160</f>
        <v> </v>
      </c>
      <c r="K160" s="209"/>
      <c r="L160" s="209"/>
      <c r="M160" s="209"/>
      <c r="N160" s="209"/>
    </row>
    <row r="161" spans="1:14" s="11" customFormat="1" ht="12.75">
      <c r="A161" s="44" t="str">
        <f>IF(OR($C161&lt;'Excerpt WDH'!$B$31,$C161&gt;'Excerpt WDH'!$E$31)," ",B161)</f>
        <v> </v>
      </c>
      <c r="B161" s="416" t="str">
        <f t="shared" si="3"/>
        <v> </v>
      </c>
      <c r="C161" s="417">
        <f t="shared" si="3"/>
        <v>11</v>
      </c>
      <c r="D161" s="418" t="str">
        <f>IF(OR(C161&lt;'Excerpt WDH'!B$31,C161&gt;'Excerpt WDH'!E$31)," ",10*(C161-'Excerpt WDH'!B$31)/('Excerpt WDH'!E$31-'Excerpt WDH'!B$31))</f>
        <v> </v>
      </c>
      <c r="E161" s="414" t="str">
        <f>IF(OR($C161&lt;'Excerpt WDH'!$B$31,$C161&gt;'Excerpt WDH'!$E$31)," ",B161*C161)</f>
        <v> </v>
      </c>
      <c r="F161" s="414" t="str">
        <f>IF(OR($C161&lt;'Excerpt WDH'!$B$31,$C161&gt;'Excerpt WDH'!$E$31)," ",$B161*(C161-G$174)*(C161-G$174))</f>
        <v> </v>
      </c>
      <c r="G161" s="414" t="str">
        <f>IF(OR($C161&lt;'Excerpt WDH'!$B$31,$C161&gt;'Excerpt WDH'!$E$31)," ",B161*D161)</f>
        <v> </v>
      </c>
      <c r="H161" s="415" t="str">
        <f>IF(OR($C161&lt;'Excerpt WDH'!$B$31,$C161&gt;'Excerpt WDH'!$E$31)," ",$B161*(D161-I$174)*(D161-I$174))</f>
        <v> </v>
      </c>
      <c r="I161" s="5"/>
      <c r="J161" s="358" t="str">
        <f>A161</f>
        <v> </v>
      </c>
      <c r="K161" s="209"/>
      <c r="L161" s="209"/>
      <c r="M161" s="209"/>
      <c r="N161" s="209"/>
    </row>
    <row r="162" spans="1:14" s="11" customFormat="1" ht="12.75">
      <c r="A162" s="44" t="str">
        <f>IF(OR($C162&lt;'Excerpt WDH'!$B$31,$C162&gt;'Excerpt WDH'!$E$31)," ",B162)</f>
        <v> </v>
      </c>
      <c r="B162" s="416" t="str">
        <f t="shared" si="3"/>
        <v> </v>
      </c>
      <c r="C162" s="417">
        <f t="shared" si="3"/>
        <v>10</v>
      </c>
      <c r="D162" s="418" t="str">
        <f>IF(OR(C162&lt;'Excerpt WDH'!B$31,C162&gt;'Excerpt WDH'!E$31)," ",10*(C162-'Excerpt WDH'!B$31)/('Excerpt WDH'!E$31-'Excerpt WDH'!B$31))</f>
        <v> </v>
      </c>
      <c r="E162" s="414" t="str">
        <f>IF(OR($C162&lt;'Excerpt WDH'!$B$31,$C162&gt;'Excerpt WDH'!$E$31)," ",B162*C162)</f>
        <v> </v>
      </c>
      <c r="F162" s="414" t="str">
        <f>IF(OR($C162&lt;'Excerpt WDH'!$B$31,$C162&gt;'Excerpt WDH'!$E$31)," ",$B162*(C162-G$174)*(C162-G$174))</f>
        <v> </v>
      </c>
      <c r="G162" s="414" t="str">
        <f>IF(OR($C162&lt;'Excerpt WDH'!$B$31,$C162&gt;'Excerpt WDH'!$E$31)," ",B162*D162)</f>
        <v> </v>
      </c>
      <c r="H162" s="415" t="str">
        <f>IF(OR($C162&lt;'Excerpt WDH'!$B$31,$C162&gt;'Excerpt WDH'!$E$31)," ",$B162*(D162-I$174)*(D162-I$174))</f>
        <v> </v>
      </c>
      <c r="I162" s="5"/>
      <c r="J162" s="358" t="str">
        <f>A162</f>
        <v> </v>
      </c>
      <c r="K162" s="209"/>
      <c r="L162" s="209"/>
      <c r="M162" s="209"/>
      <c r="N162" s="209"/>
    </row>
    <row r="163" spans="1:14" s="11" customFormat="1" ht="12.75">
      <c r="A163" s="44" t="str">
        <f>IF(OR($C163&lt;'Excerpt WDH'!$B$31,$C163&gt;'Excerpt WDH'!$E$31)," ",B163)</f>
        <v> </v>
      </c>
      <c r="B163" s="416" t="str">
        <f t="shared" si="3"/>
        <v> </v>
      </c>
      <c r="C163" s="417">
        <f t="shared" si="3"/>
        <v>9</v>
      </c>
      <c r="D163" s="418" t="str">
        <f>IF(OR(C163&lt;'Excerpt WDH'!B$31,C163&gt;'Excerpt WDH'!E$31)," ",10*(C163-'Excerpt WDH'!B$31)/('Excerpt WDH'!E$31-'Excerpt WDH'!B$31))</f>
        <v> </v>
      </c>
      <c r="E163" s="414" t="str">
        <f>IF(OR($C163&lt;'Excerpt WDH'!$B$31,$C163&gt;'Excerpt WDH'!$E$31)," ",B163*C163)</f>
        <v> </v>
      </c>
      <c r="F163" s="414" t="str">
        <f>IF(OR($C163&lt;'Excerpt WDH'!$B$31,$C163&gt;'Excerpt WDH'!$E$31)," ",$B163*(C163-G$174)*(C163-G$174))</f>
        <v> </v>
      </c>
      <c r="G163" s="414" t="str">
        <f>IF(OR($C163&lt;'Excerpt WDH'!$B$31,$C163&gt;'Excerpt WDH'!$E$31)," ",B163*D163)</f>
        <v> </v>
      </c>
      <c r="H163" s="415" t="str">
        <f>IF(OR($C163&lt;'Excerpt WDH'!$B$31,$C163&gt;'Excerpt WDH'!$E$31)," ",$B163*(D163-I$174)*(D163-I$174))</f>
        <v> </v>
      </c>
      <c r="I163" s="5"/>
      <c r="J163" s="358" t="str">
        <f>A163</f>
        <v> </v>
      </c>
      <c r="K163" s="209"/>
      <c r="L163" s="209"/>
      <c r="M163" s="209"/>
      <c r="N163" s="209"/>
    </row>
    <row r="164" spans="1:14" s="11" customFormat="1" ht="12.75">
      <c r="A164" s="44" t="str">
        <f>IF(OR($C164&lt;'Excerpt WDH'!$B$31,$C164&gt;'Excerpt WDH'!$E$31)," ",B164)</f>
        <v> </v>
      </c>
      <c r="B164" s="416" t="str">
        <f t="shared" si="3"/>
        <v> </v>
      </c>
      <c r="C164" s="417">
        <f t="shared" si="3"/>
        <v>8</v>
      </c>
      <c r="D164" s="418" t="str">
        <f>IF(OR(C164&lt;'Excerpt WDH'!B$31,C164&gt;'Excerpt WDH'!E$31)," ",10*(C164-'Excerpt WDH'!B$31)/('Excerpt WDH'!E$31-'Excerpt WDH'!B$31))</f>
        <v> </v>
      </c>
      <c r="E164" s="414" t="str">
        <f>IF(OR($C164&lt;'Excerpt WDH'!$B$31,$C164&gt;'Excerpt WDH'!$E$31)," ",B164*C164)</f>
        <v> </v>
      </c>
      <c r="F164" s="414" t="str">
        <f>IF(OR($C164&lt;'Excerpt WDH'!$B$31,$C164&gt;'Excerpt WDH'!$E$31)," ",$B164*(C164-G$174)*(C164-G$174))</f>
        <v> </v>
      </c>
      <c r="G164" s="414" t="str">
        <f>IF(OR($C164&lt;'Excerpt WDH'!$B$31,$C164&gt;'Excerpt WDH'!$E$31)," ",B164*D164)</f>
        <v> </v>
      </c>
      <c r="H164" s="415" t="str">
        <f>IF(OR($C164&lt;'Excerpt WDH'!$B$31,$C164&gt;'Excerpt WDH'!$E$31)," ",$B164*(D164-I$174)*(D164-I$174))</f>
        <v> </v>
      </c>
      <c r="I164" s="5"/>
      <c r="J164" s="358" t="str">
        <f>A164</f>
        <v> </v>
      </c>
      <c r="K164" s="209"/>
      <c r="L164" s="209"/>
      <c r="M164" s="209"/>
      <c r="N164" s="209"/>
    </row>
    <row r="165" spans="1:14" s="11" customFormat="1" ht="12.75">
      <c r="A165" s="44" t="str">
        <f>IF(OR($C165&lt;'Excerpt WDH'!$B$31,$C165&gt;'Excerpt WDH'!$E$31)," ",B165)</f>
        <v> </v>
      </c>
      <c r="B165" s="416" t="str">
        <f t="shared" si="3"/>
        <v> </v>
      </c>
      <c r="C165" s="417">
        <f t="shared" si="3"/>
        <v>7</v>
      </c>
      <c r="D165" s="418" t="str">
        <f>IF(OR(C165&lt;'Excerpt WDH'!B$31,C165&gt;'Excerpt WDH'!E$31)," ",10*(C165-'Excerpt WDH'!B$31)/('Excerpt WDH'!E$31-'Excerpt WDH'!B$31))</f>
        <v> </v>
      </c>
      <c r="E165" s="414" t="str">
        <f>IF(OR($C165&lt;'Excerpt WDH'!$B$31,$C165&gt;'Excerpt WDH'!$E$31)," ",B165*C165)</f>
        <v> </v>
      </c>
      <c r="F165" s="414" t="str">
        <f>IF(OR($C165&lt;'Excerpt WDH'!$B$31,$C165&gt;'Excerpt WDH'!$E$31)," ",$B165*(C165-G$174)*(C165-G$174))</f>
        <v> </v>
      </c>
      <c r="G165" s="414" t="str">
        <f>IF(OR($C165&lt;'Excerpt WDH'!$B$31,$C165&gt;'Excerpt WDH'!$E$31)," ",B165*D165)</f>
        <v> </v>
      </c>
      <c r="H165" s="415" t="str">
        <f>IF(OR($C165&lt;'Excerpt WDH'!$B$31,$C165&gt;'Excerpt WDH'!$E$31)," ",$B165*(D165-I$174)*(D165-I$174))</f>
        <v> </v>
      </c>
      <c r="I165" s="5"/>
      <c r="J165" s="358"/>
      <c r="K165" s="209"/>
      <c r="L165" s="209"/>
      <c r="M165" s="209"/>
      <c r="N165" s="209"/>
    </row>
    <row r="166" spans="1:14" s="11" customFormat="1" ht="12.75">
      <c r="A166" s="44" t="str">
        <f>IF(OR($C166&lt;'Excerpt WDH'!$B$31,$C166&gt;'Excerpt WDH'!$E$31)," ",B166)</f>
        <v> </v>
      </c>
      <c r="B166" s="416" t="str">
        <f t="shared" si="3"/>
        <v> </v>
      </c>
      <c r="C166" s="417">
        <f t="shared" si="3"/>
        <v>6</v>
      </c>
      <c r="D166" s="512" t="str">
        <f>IF(OR(C166&lt;'Excerpt WDH'!B$31,C166&gt;'Excerpt WDH'!E$31)," ",10*(C166-'Excerpt WDH'!B$31)/('Excerpt WDH'!E$31-'Excerpt WDH'!B$31))</f>
        <v> </v>
      </c>
      <c r="E166" s="414" t="str">
        <f>IF(OR($C166&lt;'Excerpt WDH'!$B$31,$C166&gt;'Excerpt WDH'!$E$31)," ",B166*C166)</f>
        <v> </v>
      </c>
      <c r="F166" s="414" t="str">
        <f>IF(OR($C166&lt;'Excerpt WDH'!$B$31,$C166&gt;'Excerpt WDH'!$E$31)," ",$B166*(C166-G$174)*(C166-G$174))</f>
        <v> </v>
      </c>
      <c r="G166" s="414" t="str">
        <f>IF(OR($C166&lt;'Excerpt WDH'!$B$31,$C166&gt;'Excerpt WDH'!$E$31)," ",B166*D166)</f>
        <v> </v>
      </c>
      <c r="H166" s="415" t="str">
        <f>IF(OR($C166&lt;'Excerpt WDH'!$B$31,$C166&gt;'Excerpt WDH'!$E$31)," ",$B166*(D166-I$174)*(D166-I$174))</f>
        <v> </v>
      </c>
      <c r="I166" s="5"/>
      <c r="J166" s="358"/>
      <c r="K166" s="209"/>
      <c r="L166" s="209"/>
      <c r="M166" s="209"/>
      <c r="N166" s="209"/>
    </row>
    <row r="167" spans="1:14" s="11" customFormat="1" ht="12.75">
      <c r="A167" s="44" t="str">
        <f>IF(OR($C167&lt;'Excerpt WDH'!$B$31,$C167&gt;'Excerpt WDH'!$E$31)," ",B167)</f>
        <v> </v>
      </c>
      <c r="B167" s="416" t="str">
        <f t="shared" si="3"/>
        <v> </v>
      </c>
      <c r="C167" s="417">
        <f t="shared" si="3"/>
        <v>5</v>
      </c>
      <c r="D167" s="512" t="str">
        <f>IF(OR(C167&lt;'Excerpt WDH'!B$31,C167&gt;'Excerpt WDH'!E$31)," ",10*(C167-'Excerpt WDH'!B$31)/('Excerpt WDH'!E$31-'Excerpt WDH'!B$31))</f>
        <v> </v>
      </c>
      <c r="E167" s="414" t="str">
        <f>IF(OR($C167&lt;'Excerpt WDH'!$B$31,$C167&gt;'Excerpt WDH'!$E$31)," ",B167*C167)</f>
        <v> </v>
      </c>
      <c r="F167" s="414" t="str">
        <f>IF(OR($C167&lt;'Excerpt WDH'!$B$31,$C167&gt;'Excerpt WDH'!$E$31)," ",$B167*(C167-G$174)*(C167-G$174))</f>
        <v> </v>
      </c>
      <c r="G167" s="414" t="str">
        <f>IF(OR($C167&lt;'Excerpt WDH'!$B$31,$C167&gt;'Excerpt WDH'!$E$31)," ",B167*D167)</f>
        <v> </v>
      </c>
      <c r="H167" s="415" t="str">
        <f>IF(OR($C167&lt;'Excerpt WDH'!$B$31,$C167&gt;'Excerpt WDH'!$E$31)," ",$B167*(D167-I$174)*(D167-I$174))</f>
        <v> </v>
      </c>
      <c r="I167" s="5"/>
      <c r="J167" s="358"/>
      <c r="K167" s="357">
        <f>SUM(B160:B172)</f>
        <v>100</v>
      </c>
      <c r="L167" s="209"/>
      <c r="M167" s="209"/>
      <c r="N167" s="209"/>
    </row>
    <row r="168" spans="1:14" s="11" customFormat="1" ht="12.75">
      <c r="A168" s="44" t="str">
        <f>IF(OR($C168&lt;'Excerpt WDH'!$B$31,$C168&gt;'Excerpt WDH'!$E$31)," ",B168)</f>
        <v> </v>
      </c>
      <c r="B168" s="416" t="str">
        <f t="shared" si="3"/>
        <v> </v>
      </c>
      <c r="C168" s="417">
        <f t="shared" si="3"/>
        <v>4</v>
      </c>
      <c r="D168" s="512" t="str">
        <f>IF(OR(C168&lt;'Excerpt WDH'!B$31,C168&gt;'Excerpt WDH'!E$31)," ",10*(C168-'Excerpt WDH'!B$31)/('Excerpt WDH'!E$31-'Excerpt WDH'!B$31))</f>
        <v> </v>
      </c>
      <c r="E168" s="414" t="str">
        <f>IF(OR($C168&lt;'Excerpt WDH'!$B$31,$C168&gt;'Excerpt WDH'!$E$31)," ",B168*C168)</f>
        <v> </v>
      </c>
      <c r="F168" s="414" t="str">
        <f>IF(OR($C168&lt;'Excerpt WDH'!$B$31,$C168&gt;'Excerpt WDH'!$E$31)," ",$B168*(C168-G$174)*(C168-G$174))</f>
        <v> </v>
      </c>
      <c r="G168" s="414" t="str">
        <f>IF(OR($C168&lt;'Excerpt WDH'!$B$31,$C168&gt;'Excerpt WDH'!$E$31)," ",B168*D168)</f>
        <v> </v>
      </c>
      <c r="H168" s="415" t="str">
        <f>IF(OR($C168&lt;'Excerpt WDH'!$B$31,$C168&gt;'Excerpt WDH'!$E$31)," ",$B168*(D168-I$174)*(D168-I$174))</f>
        <v> </v>
      </c>
      <c r="I168" s="5"/>
      <c r="J168" s="358"/>
      <c r="K168" s="209"/>
      <c r="L168" s="209"/>
      <c r="M168" s="209"/>
      <c r="N168" s="209"/>
    </row>
    <row r="169" spans="1:14" s="11" customFormat="1" ht="12.75">
      <c r="A169" s="44">
        <f>IF(OR($C169&lt;'Excerpt WDH'!$B$31,$C169&gt;'Excerpt WDH'!$E$31)," ",B169)</f>
        <v>60</v>
      </c>
      <c r="B169" s="416">
        <f t="shared" si="3"/>
        <v>60</v>
      </c>
      <c r="C169" s="417">
        <f t="shared" si="3"/>
        <v>3</v>
      </c>
      <c r="D169" s="512">
        <f>IF(OR(C169&lt;'Excerpt WDH'!B$31,C169&gt;'Excerpt WDH'!E$31)," ",10*(C169-'Excerpt WDH'!B$31)/('Excerpt WDH'!E$31-'Excerpt WDH'!B$31))</f>
        <v>10</v>
      </c>
      <c r="E169" s="414">
        <f>IF(OR($C169&lt;'Excerpt WDH'!$B$31,$C169&gt;'Excerpt WDH'!$E$31)," ",B169*C169)</f>
        <v>180</v>
      </c>
      <c r="F169" s="414">
        <f>IF(OR($C169&lt;'Excerpt WDH'!$B$31,$C169&gt;'Excerpt WDH'!$E$31)," ",$B169*(C169-G$174)*(C169-G$174))</f>
        <v>21.60000000000001</v>
      </c>
      <c r="G169" s="414">
        <f>IF(OR($C169&lt;'Excerpt WDH'!$B$31,$C169&gt;'Excerpt WDH'!$E$31)," ",B169*D169)</f>
        <v>600</v>
      </c>
      <c r="H169" s="415">
        <f>IF(OR($C169&lt;'Excerpt WDH'!$B$31,$C169&gt;'Excerpt WDH'!$E$31)," ",$B169*(D169-I$174)*(D169-I$174))</f>
        <v>540</v>
      </c>
      <c r="I169" s="5"/>
      <c r="J169" s="358"/>
      <c r="K169" s="209"/>
      <c r="L169" s="209"/>
      <c r="M169" s="209"/>
      <c r="N169" s="209"/>
    </row>
    <row r="170" spans="1:14" s="11" customFormat="1" ht="12.75">
      <c r="A170" s="44">
        <f>IF(OR($C170&lt;'Excerpt WDH'!$B$31,$C170&gt;'Excerpt WDH'!$E$31)," ",B170)</f>
        <v>20</v>
      </c>
      <c r="B170" s="416">
        <f t="shared" si="3"/>
        <v>20</v>
      </c>
      <c r="C170" s="417">
        <f t="shared" si="3"/>
        <v>2</v>
      </c>
      <c r="D170" s="512">
        <f>IF(OR(C170&lt;'Excerpt WDH'!B$31,C170&gt;'Excerpt WDH'!E$31)," ",10*(C170-'Excerpt WDH'!B$31)/('Excerpt WDH'!E$31-'Excerpt WDH'!B$31))</f>
        <v>5</v>
      </c>
      <c r="E170" s="414">
        <f>IF(OR($C170&lt;'Excerpt WDH'!$B$31,$C170&gt;'Excerpt WDH'!$E$31)," ",B170*C170)</f>
        <v>40</v>
      </c>
      <c r="F170" s="414">
        <f>IF(OR($C170&lt;'Excerpt WDH'!$B$31,$C170&gt;'Excerpt WDH'!$E$31)," ",$B170*(C170-G$174)*(C170-G$174))</f>
        <v>3.1999999999999984</v>
      </c>
      <c r="G170" s="414">
        <f>IF(OR($C170&lt;'Excerpt WDH'!$B$31,$C170&gt;'Excerpt WDH'!$E$31)," ",B170*D170)</f>
        <v>100</v>
      </c>
      <c r="H170" s="415">
        <f>IF(OR($C170&lt;'Excerpt WDH'!$B$31,$C170&gt;'Excerpt WDH'!$E$31)," ",$B170*(D170-I$174)*(D170-I$174))</f>
        <v>80</v>
      </c>
      <c r="I170" s="5"/>
      <c r="J170" s="358"/>
      <c r="K170" s="209"/>
      <c r="L170" s="209"/>
      <c r="M170" s="209"/>
      <c r="N170" s="209"/>
    </row>
    <row r="171" spans="1:14" s="11" customFormat="1" ht="12.75">
      <c r="A171" s="44">
        <f>IF(OR($C171&lt;'Excerpt WDH'!$B$31,$C171&gt;'Excerpt WDH'!$E$31)," ",B171)</f>
        <v>20</v>
      </c>
      <c r="B171" s="416">
        <f t="shared" si="3"/>
        <v>20</v>
      </c>
      <c r="C171" s="417">
        <f t="shared" si="3"/>
        <v>1</v>
      </c>
      <c r="D171" s="512">
        <f>IF(OR(C171&lt;'Excerpt WDH'!B$31,C171&gt;'Excerpt WDH'!E$31)," ",10*(C171-'Excerpt WDH'!B$31)/('Excerpt WDH'!E$31-'Excerpt WDH'!B$31))</f>
        <v>0</v>
      </c>
      <c r="E171" s="414">
        <f>IF(OR($C171&lt;'Excerpt WDH'!$B$31,$C171&gt;'Excerpt WDH'!$E$31)," ",B171*C171)</f>
        <v>20</v>
      </c>
      <c r="F171" s="414">
        <f>IF(OR($C171&lt;'Excerpt WDH'!$B$31,$C171&gt;'Excerpt WDH'!$E$31)," ",$B171*(C171-G$174)*(C171-G$174))</f>
        <v>39.199999999999996</v>
      </c>
      <c r="G171" s="414">
        <f>IF(OR($C171&lt;'Excerpt WDH'!$B$31,$C171&gt;'Excerpt WDH'!$E$31)," ",B171*D171)</f>
        <v>0</v>
      </c>
      <c r="H171" s="415">
        <f>IF(OR($C171&lt;'Excerpt WDH'!$B$31,$C171&gt;'Excerpt WDH'!$E$31)," ",$B171*(D171-I$174)*(D171-I$174))</f>
        <v>980</v>
      </c>
      <c r="I171" s="5"/>
      <c r="J171" s="358"/>
      <c r="K171" s="209"/>
      <c r="L171" s="209"/>
      <c r="M171" s="209"/>
      <c r="N171" s="209"/>
    </row>
    <row r="172" spans="1:14" s="11" customFormat="1" ht="13.5" thickBot="1">
      <c r="A172" s="44" t="str">
        <f>IF(OR($C172&lt;'Excerpt WDH'!$B$31,$C172&gt;'Excerpt WDH'!$E$31)," ",B172)</f>
        <v> </v>
      </c>
      <c r="B172" s="416" t="str">
        <f t="shared" si="3"/>
        <v> </v>
      </c>
      <c r="C172" s="417">
        <f t="shared" si="3"/>
        <v>0</v>
      </c>
      <c r="D172" s="432" t="str">
        <f>IF(OR(C172&lt;'Excerpt WDH'!B$31,C172&gt;'Excerpt WDH'!E$31)," ",10*(C172-'Excerpt WDH'!B$31)/('Excerpt WDH'!E$31-'Excerpt WDH'!B$31))</f>
        <v> </v>
      </c>
      <c r="E172" s="433" t="str">
        <f>IF(OR($C172&lt;'Excerpt WDH'!$B$31,$C172&gt;'Excerpt WDH'!$E$31)," ",B172*C172)</f>
        <v> </v>
      </c>
      <c r="F172" s="414" t="str">
        <f>IF(OR($C172&lt;'Excerpt WDH'!$B$31,$C172&gt;'Excerpt WDH'!$E$31)," ",$B172*(C172-G$174)*(C172-G$174))</f>
        <v> </v>
      </c>
      <c r="G172" s="433" t="str">
        <f>IF(OR($C172&lt;'Excerpt WDH'!$B$31,$C172&gt;'Excerpt WDH'!$E$31)," ",B172*D172)</f>
        <v> </v>
      </c>
      <c r="H172" s="434" t="str">
        <f>IF(OR($C172&lt;'Excerpt WDH'!$B$31,$C172&gt;'Excerpt WDH'!$E$31)," ",$B172*(D172-I$174)*(D172-I$174))</f>
        <v> </v>
      </c>
      <c r="I172" s="5"/>
      <c r="J172" s="358"/>
      <c r="K172" s="209"/>
      <c r="L172" s="209"/>
      <c r="M172" s="209"/>
      <c r="N172" s="209"/>
    </row>
    <row r="173" spans="1:14" s="11" customFormat="1" ht="12.75">
      <c r="A173" s="131" t="s">
        <v>45</v>
      </c>
      <c r="B173" s="105"/>
      <c r="C173" s="510" t="str">
        <f>IF('Excerpt WDH'!$C$32=1,"AFTER SCALE REVERSION !"," ")</f>
        <v> </v>
      </c>
      <c r="D173" s="105"/>
      <c r="E173" s="105"/>
      <c r="F173" s="105"/>
      <c r="G173" s="140" t="s">
        <v>3</v>
      </c>
      <c r="H173" s="105"/>
      <c r="I173" s="141" t="s">
        <v>5</v>
      </c>
      <c r="J173" s="296"/>
      <c r="K173" s="209"/>
      <c r="L173" s="209"/>
      <c r="M173" s="209"/>
      <c r="N173" s="209"/>
    </row>
    <row r="174" spans="1:14" s="11" customFormat="1" ht="12.75">
      <c r="A174" s="132"/>
      <c r="B174" s="133"/>
      <c r="C174" s="133"/>
      <c r="D174" s="133"/>
      <c r="E174" s="133"/>
      <c r="F174" s="73" t="s">
        <v>6</v>
      </c>
      <c r="G174" s="134">
        <f>IF($G$13=0,"     ",+E159/$G$13)</f>
        <v>2.4</v>
      </c>
      <c r="H174" s="12"/>
      <c r="I174" s="135">
        <f>IF($G$13=0,"     ",+G159/$G$13)</f>
        <v>7</v>
      </c>
      <c r="J174" s="296"/>
      <c r="K174" s="209"/>
      <c r="L174" s="209"/>
      <c r="M174" s="209"/>
      <c r="N174" s="209"/>
    </row>
    <row r="175" spans="1:14" s="11" customFormat="1" ht="12.75">
      <c r="A175" s="132"/>
      <c r="B175" s="133"/>
      <c r="C175" s="133"/>
      <c r="D175" s="133"/>
      <c r="E175" s="133"/>
      <c r="F175" s="73" t="s">
        <v>30</v>
      </c>
      <c r="G175" s="136">
        <f>G$174-(TINV(0.05,$H$177))*G178/(SQRT($G$13))</f>
        <v>2.240462958527797</v>
      </c>
      <c r="H175" s="12"/>
      <c r="I175" s="137">
        <f>I$174-(TINV(0.05,$H$177))*I178/(SQRT($G$13))</f>
        <v>6.202314792638987</v>
      </c>
      <c r="J175" s="296"/>
      <c r="K175" s="209"/>
      <c r="L175" s="209"/>
      <c r="M175" s="209"/>
      <c r="N175" s="209"/>
    </row>
    <row r="176" spans="1:14" s="11" customFormat="1" ht="12.75">
      <c r="A176" s="132"/>
      <c r="B176" s="133"/>
      <c r="C176" s="133"/>
      <c r="D176" s="133"/>
      <c r="E176" s="133"/>
      <c r="F176" s="73" t="s">
        <v>31</v>
      </c>
      <c r="G176" s="136">
        <f>G$174+(TINV(0.05,$H$177))*G178/(SQRT($G$13))</f>
        <v>2.5595370414722027</v>
      </c>
      <c r="H176" s="12"/>
      <c r="I176" s="137">
        <f>I$174+(TINV(0.05,$H$177))*I178/(SQRT($G$13))</f>
        <v>7.797685207361013</v>
      </c>
      <c r="J176" s="296"/>
      <c r="K176" s="209"/>
      <c r="L176" s="209"/>
      <c r="M176" s="209"/>
      <c r="N176" s="209"/>
    </row>
    <row r="177" spans="1:14" s="11" customFormat="1" ht="12.75">
      <c r="A177" s="132"/>
      <c r="B177" s="133"/>
      <c r="C177" s="133"/>
      <c r="D177" s="133"/>
      <c r="E177" s="133"/>
      <c r="F177" s="73" t="s">
        <v>27</v>
      </c>
      <c r="G177" s="136">
        <f>IF(G13&lt;2,"   ",+F159/(G13-1))</f>
        <v>0.6464646464646465</v>
      </c>
      <c r="H177" s="419">
        <f>G13-1</f>
        <v>99</v>
      </c>
      <c r="I177" s="137">
        <f>IF(G13&lt;2,"   ",+H159/(G13-1))</f>
        <v>16.161616161616163</v>
      </c>
      <c r="J177" s="296"/>
      <c r="K177" s="209"/>
      <c r="L177" s="209"/>
      <c r="M177" s="209"/>
      <c r="N177" s="209"/>
    </row>
    <row r="178" spans="1:14" s="11" customFormat="1" ht="12.75">
      <c r="A178" s="142"/>
      <c r="B178" s="143"/>
      <c r="C178" s="143"/>
      <c r="D178" s="143"/>
      <c r="E178" s="143"/>
      <c r="F178" s="144" t="s">
        <v>28</v>
      </c>
      <c r="G178" s="136">
        <f>IF($G$13=0,"      ",+SQRT(G177))</f>
        <v>0.8040302522073697</v>
      </c>
      <c r="H178" s="158" t="s">
        <v>41</v>
      </c>
      <c r="I178" s="137">
        <f>IF($G$13=0,"      ",+SQRT(I177))</f>
        <v>4.020151261036848</v>
      </c>
      <c r="J178" s="296"/>
      <c r="K178" s="209"/>
      <c r="L178" s="209"/>
      <c r="M178" s="209"/>
      <c r="N178" s="209"/>
    </row>
    <row r="179" spans="1:14" s="11" customFormat="1" ht="12.75">
      <c r="A179" s="513" t="str">
        <f>IF('Excerpt WDH'!$C$32=1,"STATISTICS BEFORE SCALE REVERSION"," ")</f>
        <v> </v>
      </c>
      <c r="B179" s="511"/>
      <c r="C179" s="12"/>
      <c r="D179" s="12"/>
      <c r="E179" s="12"/>
      <c r="F179" s="138"/>
      <c r="G179" s="145" t="s">
        <v>3</v>
      </c>
      <c r="H179" s="115"/>
      <c r="I179" s="146" t="s">
        <v>5</v>
      </c>
      <c r="J179" s="296"/>
      <c r="K179" s="209"/>
      <c r="L179" s="209"/>
      <c r="M179" s="209"/>
      <c r="N179" s="209"/>
    </row>
    <row r="180" spans="1:14" s="11" customFormat="1" ht="12.75">
      <c r="A180" s="132"/>
      <c r="B180" s="133"/>
      <c r="C180" s="133"/>
      <c r="D180" s="133"/>
      <c r="E180" s="133"/>
      <c r="F180" s="139" t="s">
        <v>6</v>
      </c>
      <c r="G180" s="134">
        <f>IF(D126=1,'Excerpt WDH'!$E$31+'Excerpt WDH'!$B$31-G174,"")</f>
      </c>
      <c r="H180" s="115"/>
      <c r="I180" s="135">
        <f>IF(D126=1,10-I174,"")</f>
      </c>
      <c r="J180" s="296"/>
      <c r="K180" s="209"/>
      <c r="L180" s="209"/>
      <c r="M180" s="209"/>
      <c r="N180" s="209"/>
    </row>
    <row r="181" spans="1:14" s="11" customFormat="1" ht="12.75">
      <c r="A181" s="132"/>
      <c r="B181" s="133"/>
      <c r="C181" s="133"/>
      <c r="D181" s="133"/>
      <c r="E181" s="133"/>
      <c r="F181" s="73" t="s">
        <v>30</v>
      </c>
      <c r="G181" s="134">
        <f>IF(D126=1,'Excerpt WDH'!$E$31+'Excerpt WDH'!$B$31-G176,"")</f>
      </c>
      <c r="H181" s="115"/>
      <c r="I181" s="135">
        <f>IF(D126=1,10-I176,"")</f>
      </c>
      <c r="J181" s="296"/>
      <c r="K181" s="209"/>
      <c r="L181" s="209"/>
      <c r="M181" s="209"/>
      <c r="N181" s="209"/>
    </row>
    <row r="182" spans="1:14" s="11" customFormat="1" ht="12.75">
      <c r="A182" s="132"/>
      <c r="B182" s="133"/>
      <c r="C182" s="133"/>
      <c r="D182" s="133"/>
      <c r="E182" s="133"/>
      <c r="F182" s="73" t="s">
        <v>31</v>
      </c>
      <c r="G182" s="134">
        <f>IF(D126=1,'Excerpt WDH'!$E$31+'Excerpt WDH'!$B$31-G175,"")</f>
      </c>
      <c r="H182" s="219"/>
      <c r="I182" s="135">
        <f>IF(D126=1,10-I175,"")</f>
      </c>
      <c r="J182" s="296"/>
      <c r="K182" s="209"/>
      <c r="L182" s="209"/>
      <c r="M182" s="209"/>
      <c r="N182" s="209"/>
    </row>
    <row r="183" spans="1:14" s="11" customFormat="1" ht="12.75">
      <c r="A183" s="121"/>
      <c r="B183" s="133"/>
      <c r="C183" s="133"/>
      <c r="D183" s="133"/>
      <c r="E183" s="133"/>
      <c r="F183" s="73"/>
      <c r="G183" s="74"/>
      <c r="H183" s="115"/>
      <c r="I183" s="75"/>
      <c r="J183" s="12"/>
      <c r="K183" s="209"/>
      <c r="L183" s="209"/>
      <c r="M183" s="209"/>
      <c r="N183" s="209"/>
    </row>
    <row r="184" spans="1:14" s="11" customFormat="1" ht="12.75">
      <c r="A184" s="121" t="s">
        <v>68</v>
      </c>
      <c r="B184" s="133"/>
      <c r="C184" s="133" t="s">
        <v>173</v>
      </c>
      <c r="D184" s="133"/>
      <c r="E184" s="133"/>
      <c r="F184" s="222">
        <f>SQRT(G$149/G$10+G$177/G$13)</f>
        <v>0.11891767800211263</v>
      </c>
      <c r="G184" s="448" t="s">
        <v>198</v>
      </c>
      <c r="H184" s="115"/>
      <c r="I184" s="75"/>
      <c r="J184" s="12"/>
      <c r="K184" s="209"/>
      <c r="L184" s="209"/>
      <c r="M184" s="209"/>
      <c r="N184" s="209"/>
    </row>
    <row r="185" spans="1:14" s="11" customFormat="1" ht="12.75">
      <c r="A185" s="121"/>
      <c r="B185" s="133"/>
      <c r="C185" s="133"/>
      <c r="D185" s="133"/>
      <c r="E185" s="133"/>
      <c r="F185" s="222">
        <f>SQRT(I$149/G$10+I$177/G$13)</f>
        <v>0.5945883900105632</v>
      </c>
      <c r="G185" s="448" t="s">
        <v>199</v>
      </c>
      <c r="H185" s="115"/>
      <c r="I185" s="75"/>
      <c r="J185" s="12"/>
      <c r="K185" s="209"/>
      <c r="L185" s="209"/>
      <c r="M185" s="209"/>
      <c r="N185" s="209"/>
    </row>
    <row r="186" spans="1:14" s="11" customFormat="1" ht="12.75">
      <c r="A186" s="121" t="s">
        <v>102</v>
      </c>
      <c r="B186" s="133"/>
      <c r="C186" s="133"/>
      <c r="D186" s="133"/>
      <c r="E186" s="133" t="s">
        <v>103</v>
      </c>
      <c r="F186" s="302">
        <f>SQRT((H24*I24+H33*I33)/(H24+H33))</f>
        <v>4.204374825912609</v>
      </c>
      <c r="G186" s="74"/>
      <c r="H186" s="115"/>
      <c r="I186" s="75"/>
      <c r="J186" s="12"/>
      <c r="K186" s="209"/>
      <c r="L186" s="209"/>
      <c r="M186" s="209"/>
      <c r="N186" s="209"/>
    </row>
    <row r="187" spans="1:14" s="11" customFormat="1" ht="12.75">
      <c r="A187" s="121"/>
      <c r="B187" s="133"/>
      <c r="C187" s="133"/>
      <c r="D187" s="133"/>
      <c r="E187" s="133"/>
      <c r="F187" s="302"/>
      <c r="G187" s="74"/>
      <c r="H187" s="115"/>
      <c r="I187" s="333">
        <f>'Excerpt WDH'!I9</f>
        <v>4</v>
      </c>
      <c r="J187" s="12"/>
      <c r="K187" s="209"/>
      <c r="L187" s="209"/>
      <c r="M187" s="209"/>
      <c r="N187" s="209"/>
    </row>
    <row r="188" spans="1:14" s="11" customFormat="1" ht="12.75">
      <c r="A188" s="34" t="s">
        <v>111</v>
      </c>
      <c r="B188" s="6"/>
      <c r="C188" s="6"/>
      <c r="D188" s="6"/>
      <c r="E188" s="6"/>
      <c r="F188" s="271"/>
      <c r="G188" s="74"/>
      <c r="H188" s="115"/>
      <c r="I188" s="75"/>
      <c r="J188" s="12"/>
      <c r="K188" s="209"/>
      <c r="L188" s="209"/>
      <c r="M188" s="209"/>
      <c r="N188" s="209"/>
    </row>
    <row r="189" spans="1:14" s="11" customFormat="1" ht="12.75">
      <c r="A189" s="34"/>
      <c r="B189" s="6"/>
      <c r="C189" s="6"/>
      <c r="D189" s="6" t="s">
        <v>106</v>
      </c>
      <c r="E189" s="151"/>
      <c r="F189" s="420">
        <f>(G10*I20+G13*I29)/(G10+G13)</f>
        <v>6.5</v>
      </c>
      <c r="G189" s="74"/>
      <c r="H189" s="115"/>
      <c r="I189" s="75"/>
      <c r="J189" s="12"/>
      <c r="K189" s="209"/>
      <c r="L189" s="209"/>
      <c r="M189" s="209"/>
      <c r="N189" s="209"/>
    </row>
    <row r="190" spans="1:14" s="11" customFormat="1" ht="12.75">
      <c r="A190" s="34"/>
      <c r="B190" s="6"/>
      <c r="C190" s="6"/>
      <c r="D190" s="6" t="s">
        <v>107</v>
      </c>
      <c r="E190" s="151"/>
      <c r="F190" s="421">
        <f>G10*(I20-F189)*(I20-F189)+G13*(I29-F189)*(I29-F189)</f>
        <v>50</v>
      </c>
      <c r="G190" s="74"/>
      <c r="H190" s="115"/>
      <c r="I190" s="75"/>
      <c r="J190" s="12"/>
      <c r="K190" s="209"/>
      <c r="L190" s="209"/>
      <c r="M190" s="209"/>
      <c r="N190" s="209"/>
    </row>
    <row r="191" spans="1:14" s="11" customFormat="1" ht="12.75">
      <c r="A191" s="34"/>
      <c r="B191" s="6"/>
      <c r="C191" s="6"/>
      <c r="D191" s="6" t="s">
        <v>108</v>
      </c>
      <c r="E191" s="151"/>
      <c r="F191" s="421">
        <f>H24*I24+H33*I33</f>
        <v>3500</v>
      </c>
      <c r="G191" s="74"/>
      <c r="H191" s="115"/>
      <c r="I191" s="75"/>
      <c r="J191" s="12"/>
      <c r="K191" s="209"/>
      <c r="L191" s="209"/>
      <c r="M191" s="209"/>
      <c r="N191" s="209"/>
    </row>
    <row r="192" spans="1:14" s="11" customFormat="1" ht="12.75">
      <c r="A192" s="34"/>
      <c r="B192" s="6"/>
      <c r="C192" s="6"/>
      <c r="D192" s="6" t="s">
        <v>109</v>
      </c>
      <c r="E192" s="151"/>
      <c r="F192" s="421">
        <f>F190+F191</f>
        <v>3550</v>
      </c>
      <c r="G192" s="74"/>
      <c r="H192" s="115"/>
      <c r="I192" s="75"/>
      <c r="J192" s="12"/>
      <c r="K192" s="209"/>
      <c r="L192" s="209"/>
      <c r="M192" s="209"/>
      <c r="N192" s="209"/>
    </row>
    <row r="193" spans="1:14" s="11" customFormat="1" ht="13.5" thickBot="1">
      <c r="A193" s="303"/>
      <c r="B193" s="45"/>
      <c r="C193" s="45"/>
      <c r="D193" s="45"/>
      <c r="E193" s="45"/>
      <c r="F193" s="302"/>
      <c r="G193" s="74"/>
      <c r="H193" s="74"/>
      <c r="I193" s="75"/>
      <c r="J193" s="12"/>
      <c r="K193" s="209"/>
      <c r="L193" s="209"/>
      <c r="M193" s="209"/>
      <c r="N193" s="209"/>
    </row>
    <row r="194" spans="1:14" ht="15.75" thickBot="1">
      <c r="A194" s="160"/>
      <c r="B194" s="515" t="str">
        <f>Intro!$I$2</f>
        <v>2007-08-15</v>
      </c>
      <c r="C194" s="161"/>
      <c r="D194" s="161"/>
      <c r="E194" s="220" t="s">
        <v>69</v>
      </c>
      <c r="F194" s="221"/>
      <c r="G194" s="162"/>
      <c r="H194" s="162"/>
      <c r="I194" s="514" t="s">
        <v>1</v>
      </c>
      <c r="J194" s="6"/>
      <c r="K194"/>
      <c r="L194"/>
      <c r="M194"/>
      <c r="N194"/>
    </row>
    <row r="195" spans="1:14" ht="13.5" thickTop="1">
      <c r="A195" s="286"/>
      <c r="B195" s="286"/>
      <c r="C195" s="286"/>
      <c r="D195" s="286"/>
      <c r="E195" s="286"/>
      <c r="F195" s="286"/>
      <c r="G195" s="286"/>
      <c r="H195" s="286"/>
      <c r="I195" s="286"/>
      <c r="J195" s="286"/>
      <c r="K195"/>
      <c r="L195"/>
      <c r="M195"/>
      <c r="N195"/>
    </row>
    <row r="196" spans="1:14" ht="12.75">
      <c r="A196" s="286"/>
      <c r="B196" s="286"/>
      <c r="C196" s="286"/>
      <c r="D196" s="286"/>
      <c r="E196" s="286"/>
      <c r="F196" s="286"/>
      <c r="G196" s="286"/>
      <c r="H196" s="286"/>
      <c r="I196" s="286"/>
      <c r="J196" s="286"/>
      <c r="K196"/>
      <c r="L196"/>
      <c r="M196"/>
      <c r="N196"/>
    </row>
    <row r="197" spans="1:14" ht="12.75">
      <c r="A197" s="286"/>
      <c r="B197" s="286"/>
      <c r="C197" s="286"/>
      <c r="D197" s="286"/>
      <c r="E197" s="286"/>
      <c r="F197" s="286"/>
      <c r="G197" s="286"/>
      <c r="H197" s="286"/>
      <c r="I197" s="286"/>
      <c r="J197" s="286"/>
      <c r="K197"/>
      <c r="L197"/>
      <c r="M197"/>
      <c r="N197"/>
    </row>
    <row r="198" spans="1:14" ht="12.75">
      <c r="A198" s="286"/>
      <c r="B198" s="286"/>
      <c r="C198" s="286"/>
      <c r="D198" s="45"/>
      <c r="E198" s="286"/>
      <c r="F198" s="302"/>
      <c r="G198" s="286"/>
      <c r="H198" s="286"/>
      <c r="I198" s="286"/>
      <c r="J198" s="286"/>
      <c r="K198"/>
      <c r="L198"/>
      <c r="M198"/>
      <c r="N198"/>
    </row>
    <row r="199" spans="1:14" ht="12.75">
      <c r="A199" s="286"/>
      <c r="B199" s="286"/>
      <c r="C199" s="286"/>
      <c r="D199" s="286"/>
      <c r="E199" s="286"/>
      <c r="F199" s="286"/>
      <c r="G199" s="286"/>
      <c r="H199" s="286"/>
      <c r="I199" s="286"/>
      <c r="J199" s="286"/>
      <c r="K199"/>
      <c r="L199"/>
      <c r="M199"/>
      <c r="N199"/>
    </row>
    <row r="200" spans="1:10" ht="12.75">
      <c r="A200" s="286"/>
      <c r="B200" s="286"/>
      <c r="C200" s="286"/>
      <c r="D200" s="286"/>
      <c r="E200" s="286"/>
      <c r="F200" s="286"/>
      <c r="G200" s="286"/>
      <c r="H200" s="286"/>
      <c r="I200" s="286"/>
      <c r="J200" s="286"/>
    </row>
    <row r="201" spans="1:10" ht="12.75">
      <c r="A201" s="286"/>
      <c r="B201" s="286"/>
      <c r="C201" s="286"/>
      <c r="D201" s="286"/>
      <c r="E201" s="286"/>
      <c r="F201" s="286"/>
      <c r="G201" s="286"/>
      <c r="H201" s="286"/>
      <c r="I201" s="286"/>
      <c r="J201" s="286"/>
    </row>
    <row r="202" spans="1:10" ht="12.75">
      <c r="A202" s="286"/>
      <c r="B202" s="286"/>
      <c r="C202" s="286"/>
      <c r="D202" s="286"/>
      <c r="E202" s="286"/>
      <c r="F202" s="286"/>
      <c r="G202" s="286"/>
      <c r="H202" s="286"/>
      <c r="I202" s="286"/>
      <c r="J202" s="286"/>
    </row>
    <row r="203" spans="1:10" ht="12.75">
      <c r="A203" s="286"/>
      <c r="B203" s="286"/>
      <c r="C203" s="286"/>
      <c r="D203" s="286"/>
      <c r="E203" s="286"/>
      <c r="F203" s="286"/>
      <c r="G203" s="286"/>
      <c r="H203" s="286"/>
      <c r="I203" s="286"/>
      <c r="J203" s="286"/>
    </row>
    <row r="204" spans="1:10" ht="12.75">
      <c r="A204" s="286"/>
      <c r="B204" s="286"/>
      <c r="C204" s="286"/>
      <c r="D204" s="286"/>
      <c r="E204" s="286"/>
      <c r="F204" s="286"/>
      <c r="G204" s="286"/>
      <c r="H204" s="286"/>
      <c r="I204" s="286"/>
      <c r="J204" s="286"/>
    </row>
    <row r="205" spans="1:10" ht="12.75">
      <c r="A205" s="286"/>
      <c r="B205" s="286"/>
      <c r="C205" s="286"/>
      <c r="D205" s="286"/>
      <c r="E205" s="286"/>
      <c r="F205" s="286"/>
      <c r="G205" s="286"/>
      <c r="H205" s="286"/>
      <c r="I205" s="286"/>
      <c r="J205" s="286"/>
    </row>
    <row r="206" spans="1:10" ht="12.75">
      <c r="A206" s="286"/>
      <c r="B206" s="286"/>
      <c r="C206" s="286"/>
      <c r="D206" s="286"/>
      <c r="E206" s="286"/>
      <c r="F206" s="286"/>
      <c r="G206" s="286"/>
      <c r="H206" s="286"/>
      <c r="I206" s="286"/>
      <c r="J206" s="286"/>
    </row>
    <row r="207" spans="1:10" ht="12.75">
      <c r="A207" s="286"/>
      <c r="B207" s="286"/>
      <c r="C207" s="286"/>
      <c r="D207" s="286"/>
      <c r="E207" s="286"/>
      <c r="F207" s="286"/>
      <c r="G207" s="286"/>
      <c r="H207" s="286"/>
      <c r="I207" s="286"/>
      <c r="J207" s="286"/>
    </row>
  </sheetData>
  <sheetProtection password="C550" sheet="1" objects="1" scenarios="1"/>
  <mergeCells count="5">
    <mergeCell ref="A4:I4"/>
    <mergeCell ref="B5:H5"/>
    <mergeCell ref="G85:H85"/>
    <mergeCell ref="G108:H108"/>
    <mergeCell ref="E65:F66"/>
  </mergeCells>
  <conditionalFormatting sqref="G49 G39">
    <cfRule type="expression" priority="1" dxfId="0" stopIfTrue="1">
      <formula>H40&lt;0</formula>
    </cfRule>
  </conditionalFormatting>
  <conditionalFormatting sqref="I18">
    <cfRule type="expression" priority="2" dxfId="0" stopIfTrue="1">
      <formula>G7&lt;7</formula>
    </cfRule>
  </conditionalFormatting>
  <conditionalFormatting sqref="I19">
    <cfRule type="expression" priority="3" dxfId="0" stopIfTrue="1">
      <formula>G7&lt;7</formula>
    </cfRule>
  </conditionalFormatting>
  <conditionalFormatting sqref="I27">
    <cfRule type="expression" priority="4" dxfId="0" stopIfTrue="1">
      <formula>G7&lt;7</formula>
    </cfRule>
  </conditionalFormatting>
  <conditionalFormatting sqref="I28">
    <cfRule type="expression" priority="5" dxfId="0" stopIfTrue="1">
      <formula>G7&lt;7</formula>
    </cfRule>
  </conditionalFormatting>
  <conditionalFormatting sqref="H49:H53 H39:H43">
    <cfRule type="cellIs" priority="6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M217"/>
  <sheetViews>
    <sheetView showGridLines="0" zoomScale="105" zoomScaleNormal="105" zoomScalePageLayoutView="0" workbookViewId="0" topLeftCell="A24">
      <selection activeCell="G60" sqref="G60"/>
    </sheetView>
  </sheetViews>
  <sheetFormatPr defaultColWidth="9.625" defaultRowHeight="12.75"/>
  <cols>
    <col min="1" max="1" width="4.375" style="1" customWidth="1"/>
    <col min="2" max="2" width="7.375" style="1" customWidth="1"/>
    <col min="3" max="3" width="7.625" style="1" customWidth="1"/>
    <col min="4" max="4" width="10.00390625" style="1" customWidth="1"/>
    <col min="5" max="5" width="10.75390625" style="1" customWidth="1"/>
    <col min="6" max="6" width="9.625" style="1" customWidth="1"/>
    <col min="7" max="7" width="10.75390625" style="1" customWidth="1"/>
    <col min="8" max="8" width="13.625" style="1" customWidth="1"/>
    <col min="9" max="16384" width="9.625" style="1" customWidth="1"/>
  </cols>
  <sheetData>
    <row r="1" spans="1:8" ht="14.25" thickBot="1" thickTop="1">
      <c r="A1" s="24" t="s">
        <v>223</v>
      </c>
      <c r="B1" s="31"/>
      <c r="C1" s="32"/>
      <c r="D1" s="32"/>
      <c r="E1" s="32"/>
      <c r="F1" s="32"/>
      <c r="G1" s="32"/>
      <c r="H1" s="33"/>
    </row>
    <row r="2" spans="1:11" ht="12.75">
      <c r="A2" s="34"/>
      <c r="B2" s="13"/>
      <c r="C2" s="6"/>
      <c r="D2" s="6"/>
      <c r="E2" s="6"/>
      <c r="F2" s="6"/>
      <c r="G2" s="4"/>
      <c r="H2" s="99"/>
      <c r="I2" s="86"/>
      <c r="K2"/>
    </row>
    <row r="3" spans="1:8" ht="12.75">
      <c r="A3" s="34"/>
      <c r="B3" s="13"/>
      <c r="C3" s="6"/>
      <c r="D3" s="516" t="s">
        <v>236</v>
      </c>
      <c r="E3" s="586" t="str">
        <f>'Excerpt WDH'!C5</f>
        <v>NYBO</v>
      </c>
      <c r="F3" s="587" t="str">
        <f>'Excerpt WDH'!E5</f>
        <v>2001</v>
      </c>
      <c r="H3" s="66"/>
    </row>
    <row r="4" spans="1:8" ht="16.5" thickBot="1">
      <c r="A4" s="436" t="str">
        <f>IF($H80=9," ","INPUT is NOT as MEANS/SD, so DO NOT USE THIS WORKSHEET !!")</f>
        <v>INPUT is NOT as MEANS/SD, so DO NOT USE THIS WORKSHEET !!</v>
      </c>
      <c r="B4" s="13"/>
      <c r="C4" s="6"/>
      <c r="D4" s="332"/>
      <c r="E4" s="6"/>
      <c r="F4" s="6"/>
      <c r="G4" s="4"/>
      <c r="H4" s="66"/>
    </row>
    <row r="5" spans="1:9" ht="13.5" thickBot="1">
      <c r="A5" s="856" t="s">
        <v>245</v>
      </c>
      <c r="B5" s="857"/>
      <c r="C5" s="857"/>
      <c r="D5" s="857"/>
      <c r="E5" s="857"/>
      <c r="F5" s="857"/>
      <c r="G5" s="857"/>
      <c r="H5" s="857"/>
      <c r="I5" s="86"/>
    </row>
    <row r="6" spans="1:9" ht="13.5" thickBot="1">
      <c r="A6" s="34"/>
      <c r="B6" s="13"/>
      <c r="C6" s="6"/>
      <c r="D6" s="6"/>
      <c r="E6" s="6"/>
      <c r="F6" s="6"/>
      <c r="G6" s="4"/>
      <c r="I6" s="86"/>
    </row>
    <row r="7" spans="1:8" ht="13.5" thickTop="1">
      <c r="A7" s="260" t="s">
        <v>37</v>
      </c>
      <c r="B7" s="261"/>
      <c r="C7" s="262"/>
      <c r="D7" s="262"/>
      <c r="E7" s="262"/>
      <c r="F7" s="263"/>
      <c r="G7" s="263"/>
      <c r="H7" s="264"/>
    </row>
    <row r="8" spans="1:8" ht="12.75">
      <c r="A8" s="34" t="s">
        <v>219</v>
      </c>
      <c r="B8" s="13"/>
      <c r="C8" s="6"/>
      <c r="D8" s="6"/>
      <c r="E8" s="6"/>
      <c r="F8" s="4"/>
      <c r="G8" s="4"/>
      <c r="H8" s="3"/>
    </row>
    <row r="9" spans="1:8" ht="12.75">
      <c r="A9" s="34" t="s">
        <v>220</v>
      </c>
      <c r="B9" s="13"/>
      <c r="C9" s="6"/>
      <c r="D9" s="6"/>
      <c r="E9" s="6"/>
      <c r="F9" s="4"/>
      <c r="G9" s="4"/>
      <c r="H9" s="3"/>
    </row>
    <row r="10" spans="1:8" ht="12.75">
      <c r="A10" s="34"/>
      <c r="B10" s="13" t="s">
        <v>214</v>
      </c>
      <c r="C10" s="6"/>
      <c r="D10" s="6"/>
      <c r="E10" s="6"/>
      <c r="F10" s="4"/>
      <c r="G10" s="4"/>
      <c r="H10" s="3"/>
    </row>
    <row r="11" spans="1:8" ht="12.75">
      <c r="A11" s="34"/>
      <c r="B11" s="13" t="s">
        <v>215</v>
      </c>
      <c r="C11" s="6"/>
      <c r="D11" s="6"/>
      <c r="E11" s="6"/>
      <c r="F11" s="4"/>
      <c r="G11" s="4"/>
      <c r="H11" s="3"/>
    </row>
    <row r="12" spans="1:8" ht="12.75">
      <c r="A12" s="34"/>
      <c r="B12" s="13" t="s">
        <v>213</v>
      </c>
      <c r="C12" s="6"/>
      <c r="D12" s="6"/>
      <c r="E12" s="6"/>
      <c r="F12" s="4"/>
      <c r="G12" s="4"/>
      <c r="H12" s="3"/>
    </row>
    <row r="13" spans="1:8" ht="12.75">
      <c r="A13" s="34"/>
      <c r="B13" s="13" t="s">
        <v>211</v>
      </c>
      <c r="C13" s="6"/>
      <c r="D13" s="6"/>
      <c r="E13" s="6"/>
      <c r="F13" s="4"/>
      <c r="G13" s="4"/>
      <c r="H13" s="3"/>
    </row>
    <row r="14" spans="1:8" ht="12.75">
      <c r="A14" s="34"/>
      <c r="B14" s="13" t="s">
        <v>212</v>
      </c>
      <c r="C14" s="6"/>
      <c r="D14" s="6"/>
      <c r="E14" s="6"/>
      <c r="F14" s="4"/>
      <c r="G14" s="4"/>
      <c r="H14" s="3"/>
    </row>
    <row r="15" spans="1:9" ht="12.75">
      <c r="A15" s="34" t="s">
        <v>221</v>
      </c>
      <c r="B15" s="13"/>
      <c r="C15" s="6"/>
      <c r="D15" s="6"/>
      <c r="E15" s="6"/>
      <c r="F15" s="4"/>
      <c r="G15" s="4"/>
      <c r="H15" s="3"/>
      <c r="I15" s="89"/>
    </row>
    <row r="16" spans="1:8" ht="12.75">
      <c r="A16" s="34" t="s">
        <v>222</v>
      </c>
      <c r="B16" s="13"/>
      <c r="C16" s="6"/>
      <c r="D16" s="6"/>
      <c r="E16" s="6"/>
      <c r="F16" s="4"/>
      <c r="G16" s="4"/>
      <c r="H16" s="3"/>
    </row>
    <row r="17" spans="1:8" ht="12.75">
      <c r="A17" s="34"/>
      <c r="B17" s="13" t="s">
        <v>216</v>
      </c>
      <c r="C17" s="6"/>
      <c r="D17" s="6"/>
      <c r="E17" s="6"/>
      <c r="F17" s="4"/>
      <c r="G17" s="4"/>
      <c r="H17" s="3"/>
    </row>
    <row r="18" spans="1:8" ht="12.75">
      <c r="A18" s="34" t="s">
        <v>190</v>
      </c>
      <c r="B18" s="13" t="s">
        <v>191</v>
      </c>
      <c r="C18" s="6"/>
      <c r="D18" s="6"/>
      <c r="E18" s="6"/>
      <c r="F18" s="4"/>
      <c r="G18" s="4"/>
      <c r="H18" s="3"/>
    </row>
    <row r="19" spans="1:8" ht="12.75">
      <c r="A19" s="34"/>
      <c r="B19" s="13"/>
      <c r="C19" s="6"/>
      <c r="D19" s="6"/>
      <c r="E19" s="6"/>
      <c r="F19" s="4"/>
      <c r="G19" s="4"/>
      <c r="H19" s="3"/>
    </row>
    <row r="20" spans="1:8" ht="12.75">
      <c r="A20" s="34"/>
      <c r="B20" s="13" t="s">
        <v>14</v>
      </c>
      <c r="C20" s="6"/>
      <c r="D20" s="6"/>
      <c r="E20" s="6"/>
      <c r="F20" s="4"/>
      <c r="G20" s="4"/>
      <c r="H20" s="3"/>
    </row>
    <row r="21" spans="1:8" ht="13.5" thickBot="1">
      <c r="A21" s="36"/>
      <c r="B21" s="18"/>
      <c r="C21" s="37"/>
      <c r="D21" s="37"/>
      <c r="E21" s="37"/>
      <c r="F21" s="8"/>
      <c r="G21" s="8"/>
      <c r="H21" s="19"/>
    </row>
    <row r="22" spans="1:8" ht="13.5" thickBot="1">
      <c r="A22" s="38" t="s">
        <v>25</v>
      </c>
      <c r="B22" s="13"/>
      <c r="C22" s="6"/>
      <c r="D22" s="6"/>
      <c r="E22" s="6"/>
      <c r="F22" s="4"/>
      <c r="G22" s="4"/>
      <c r="H22" s="3"/>
    </row>
    <row r="23" spans="1:9" ht="12.75">
      <c r="A23" s="34"/>
      <c r="B23" s="58" t="str">
        <f>IF(E29&gt;C29," ","WARNING !!!")</f>
        <v> </v>
      </c>
      <c r="C23" s="59"/>
      <c r="D23" s="59"/>
      <c r="E23" s="59"/>
      <c r="F23" s="60"/>
      <c r="G23" s="17"/>
      <c r="H23" s="25"/>
      <c r="I23" s="11"/>
    </row>
    <row r="24" spans="1:9" ht="12.75">
      <c r="A24" s="34"/>
      <c r="B24" s="61" t="str">
        <f>IF(E29&gt;C29," ","CHECK   YOUR  INPUT  THOROUGHLY !!!")</f>
        <v> </v>
      </c>
      <c r="C24" s="42"/>
      <c r="D24" s="42"/>
      <c r="E24" s="42"/>
      <c r="F24" s="62"/>
      <c r="G24" s="17"/>
      <c r="H24" s="25"/>
      <c r="I24" s="11"/>
    </row>
    <row r="25" spans="1:9" ht="12.75">
      <c r="A25" s="34"/>
      <c r="B25" s="61" t="str">
        <f>IF(E29&gt;C29," ","AN INPUT ERROR MIGHT HAVE BEEN MADE")</f>
        <v> </v>
      </c>
      <c r="C25" s="42"/>
      <c r="D25" s="42"/>
      <c r="E25" s="42"/>
      <c r="F25" s="62"/>
      <c r="G25" s="17"/>
      <c r="H25" s="25"/>
      <c r="I25" s="11"/>
    </row>
    <row r="26" spans="1:9" ht="13.5" thickBot="1">
      <c r="A26" s="34"/>
      <c r="B26" s="63" t="str">
        <f>IF(E29&gt;C29,"  ","OUTPUT MIGHT BE UNRELIABLE")</f>
        <v>  </v>
      </c>
      <c r="C26" s="64"/>
      <c r="D26" s="64"/>
      <c r="E26" s="64"/>
      <c r="F26" s="65"/>
      <c r="G26" s="17"/>
      <c r="H26" s="25"/>
      <c r="I26" s="11"/>
    </row>
    <row r="27" spans="1:8" ht="13.5" thickBot="1">
      <c r="A27" s="38" t="s">
        <v>2</v>
      </c>
      <c r="B27" s="13"/>
      <c r="C27" s="6"/>
      <c r="D27" s="6"/>
      <c r="E27" s="6"/>
      <c r="F27" s="4"/>
      <c r="G27" s="13"/>
      <c r="H27" s="3"/>
    </row>
    <row r="28" spans="1:10" ht="12.75">
      <c r="A28" s="121"/>
      <c r="B28" s="173" t="s">
        <v>224</v>
      </c>
      <c r="C28" s="174"/>
      <c r="D28" s="376"/>
      <c r="E28" s="377" t="s">
        <v>225</v>
      </c>
      <c r="F28" s="378"/>
      <c r="G28" s="175"/>
      <c r="H28" s="164"/>
      <c r="I28"/>
      <c r="J28"/>
    </row>
    <row r="29" spans="1:10" ht="15">
      <c r="A29" s="121"/>
      <c r="B29" s="123"/>
      <c r="C29" s="371">
        <f>'Excerpt WDH'!B31</f>
        <v>1</v>
      </c>
      <c r="D29" s="278" t="str">
        <f>IF(AND(E$29&gt;C$29,C$29&lt;2)," ","ERROR ?")</f>
        <v> </v>
      </c>
      <c r="E29" s="372">
        <f>'Excerpt WDH'!E31</f>
        <v>3</v>
      </c>
      <c r="F29" s="364" t="str">
        <f>IF(AND(E$29&gt;C$29,E$29&lt;13)," ","  ERROR")</f>
        <v> </v>
      </c>
      <c r="G29" s="369"/>
      <c r="H29" s="569">
        <f>E29-C29+1</f>
        <v>3</v>
      </c>
      <c r="I29"/>
      <c r="J29"/>
    </row>
    <row r="30" spans="1:10" ht="15">
      <c r="A30" s="253"/>
      <c r="B30" s="254"/>
      <c r="C30" s="266" t="s">
        <v>44</v>
      </c>
      <c r="D30" s="372">
        <f>'Excerpt WDH'!C32</f>
        <v>0</v>
      </c>
      <c r="E30" s="149" t="s">
        <v>52</v>
      </c>
      <c r="F30" s="365"/>
      <c r="G30" s="369" t="str">
        <f>IF(OR(D30=0,D30=1),"  ","ERROR !!!")</f>
        <v>  </v>
      </c>
      <c r="H30" s="164"/>
      <c r="I30"/>
      <c r="J30"/>
    </row>
    <row r="31" spans="1:10" ht="12.75">
      <c r="A31" s="34"/>
      <c r="B31" s="255" t="s">
        <v>83</v>
      </c>
      <c r="C31" s="96"/>
      <c r="D31" s="96"/>
      <c r="E31" s="96"/>
      <c r="F31" s="366"/>
      <c r="G31" s="370"/>
      <c r="H31" s="164"/>
      <c r="I31"/>
      <c r="J31"/>
    </row>
    <row r="32" spans="1:10" ht="15.75" thickBot="1">
      <c r="A32" s="223"/>
      <c r="B32" s="380">
        <f>'Excerpt WDH'!B57</f>
        <v>0</v>
      </c>
      <c r="C32" s="474" t="s">
        <v>84</v>
      </c>
      <c r="D32" s="172"/>
      <c r="E32" s="257"/>
      <c r="F32" s="367"/>
      <c r="G32" s="368" t="str">
        <f>IF(OR(B32=0,B32=1),"  ","ERROR !!!")</f>
        <v>  </v>
      </c>
      <c r="H32" s="164"/>
      <c r="I32"/>
      <c r="J32"/>
    </row>
    <row r="33" spans="1:10" ht="12.75">
      <c r="A33" s="223"/>
      <c r="B33" s="67"/>
      <c r="C33" s="67"/>
      <c r="D33" s="67"/>
      <c r="E33" s="67"/>
      <c r="F33" s="67"/>
      <c r="G33" s="67"/>
      <c r="H33" s="288"/>
      <c r="I33" s="287"/>
      <c r="J33" s="11"/>
    </row>
    <row r="34" spans="1:10" ht="13.5" thickBot="1">
      <c r="A34" s="223"/>
      <c r="B34" s="861" t="s">
        <v>208</v>
      </c>
      <c r="C34" s="862"/>
      <c r="D34" s="862"/>
      <c r="E34" s="862"/>
      <c r="F34" s="68">
        <f>IF(D30=1,", but reversed","")</f>
      </c>
      <c r="G34" s="6"/>
      <c r="H34" s="288"/>
      <c r="I34" s="287"/>
      <c r="J34" s="11"/>
    </row>
    <row r="35" spans="1:10" ht="13.5" thickBot="1">
      <c r="A35" s="223"/>
      <c r="B35" s="267" t="s">
        <v>87</v>
      </c>
      <c r="C35" s="268"/>
      <c r="D35" s="282"/>
      <c r="E35" s="283" t="s">
        <v>145</v>
      </c>
      <c r="F35" s="269" t="s">
        <v>146</v>
      </c>
      <c r="G35" s="6"/>
      <c r="H35" s="5"/>
      <c r="I35" s="287"/>
      <c r="J35" s="11"/>
    </row>
    <row r="36" spans="1:10" ht="12.75">
      <c r="A36" s="223"/>
      <c r="B36" s="297" t="s">
        <v>85</v>
      </c>
      <c r="C36" s="298"/>
      <c r="D36" s="299"/>
      <c r="E36" s="93">
        <f>'Excerpt WDH'!C60-'Excerpt WDH'!C61</f>
        <v>0</v>
      </c>
      <c r="F36" s="93">
        <f>'Excerpt WDH'!E60-'Excerpt WDH'!E61</f>
        <v>0</v>
      </c>
      <c r="G36" s="473" t="s">
        <v>90</v>
      </c>
      <c r="H36" s="5"/>
      <c r="I36" s="287"/>
      <c r="J36" s="11"/>
    </row>
    <row r="37" spans="1:13" ht="12.75">
      <c r="A37" s="223"/>
      <c r="B37" s="373" t="s">
        <v>256</v>
      </c>
      <c r="C37" s="374"/>
      <c r="D37" s="375"/>
      <c r="E37" s="362">
        <f>IF(OR($D30=0,$D30=1),IF($D30=0,'Excerpt WDH'!C62,$C29+$E29-'Excerpt WDH'!C62),"")</f>
        <v>0</v>
      </c>
      <c r="F37" s="362">
        <f>IF(OR($D30=0,$D30=1),IF($D30=0,'Excerpt WDH'!E62,$C29+$E29-'Excerpt WDH'!E62),"")</f>
        <v>0</v>
      </c>
      <c r="G37" s="6"/>
      <c r="H37" s="5"/>
      <c r="I37" s="287"/>
      <c r="J37"/>
      <c r="K37"/>
      <c r="L37"/>
      <c r="M37"/>
    </row>
    <row r="38" spans="1:13" ht="13.5" thickBot="1">
      <c r="A38" s="223"/>
      <c r="B38" s="249" t="s">
        <v>257</v>
      </c>
      <c r="C38" s="270"/>
      <c r="D38" s="284"/>
      <c r="E38" s="363">
        <f>'Excerpt WDH'!C63</f>
        <v>0</v>
      </c>
      <c r="F38" s="363">
        <f>'Excerpt WDH'!E63</f>
        <v>0</v>
      </c>
      <c r="G38" s="6"/>
      <c r="H38" s="5"/>
      <c r="I38" s="121"/>
      <c r="J38"/>
      <c r="K38"/>
      <c r="L38"/>
      <c r="M38"/>
    </row>
    <row r="39" spans="1:13" ht="12.75">
      <c r="A39" s="52"/>
      <c r="B39" s="6"/>
      <c r="C39" s="6"/>
      <c r="D39" s="6"/>
      <c r="E39" s="49"/>
      <c r="F39" s="571" t="str">
        <f>IF(H29&gt;6,"","Linear Transformation is not recommended")</f>
        <v>Linear Transformation is not recommended</v>
      </c>
      <c r="G39" s="133"/>
      <c r="H39" s="46"/>
      <c r="I39" s="570"/>
      <c r="J39"/>
      <c r="K39"/>
      <c r="L39"/>
      <c r="M39"/>
    </row>
    <row r="40" spans="1:13" ht="13.5" thickBot="1">
      <c r="A40" s="52"/>
      <c r="B40" s="2"/>
      <c r="C40" s="68" t="s">
        <v>86</v>
      </c>
      <c r="D40" s="6"/>
      <c r="E40" s="6"/>
      <c r="F40" s="572" t="str">
        <f>IF(H29&gt;6,"","in case of scales with &lt; 7 possible ratings. ")</f>
        <v>in case of scales with &lt; 7 possible ratings. </v>
      </c>
      <c r="G40" s="133"/>
      <c r="H40" s="46"/>
      <c r="I40" s="570"/>
      <c r="J40"/>
      <c r="K40"/>
      <c r="L40"/>
      <c r="M40"/>
    </row>
    <row r="41" spans="1:13" ht="13.5" thickBot="1">
      <c r="A41" s="52"/>
      <c r="B41" s="2"/>
      <c r="C41" s="860" t="s">
        <v>88</v>
      </c>
      <c r="D41" s="854"/>
      <c r="E41" s="859"/>
      <c r="F41" s="283" t="s">
        <v>145</v>
      </c>
      <c r="G41" s="269" t="s">
        <v>146</v>
      </c>
      <c r="H41" s="99"/>
      <c r="I41" s="86"/>
      <c r="J41"/>
      <c r="K41"/>
      <c r="L41"/>
      <c r="M41"/>
    </row>
    <row r="42" spans="1:11" ht="12.75">
      <c r="A42" s="52"/>
      <c r="B42" s="860" t="s">
        <v>252</v>
      </c>
      <c r="C42" s="863"/>
      <c r="D42" s="863"/>
      <c r="E42" s="864"/>
      <c r="F42" s="486">
        <f>IF($B$32=0,10*(E37-$C$29)/($E$29-$C$29),E37)</f>
        <v>-5</v>
      </c>
      <c r="G42" s="487">
        <f>IF($B$32=0,10*(F37-$C$29)/($E$29-$C$29),F37)</f>
        <v>-5</v>
      </c>
      <c r="H42" s="99"/>
      <c r="I42" s="2"/>
      <c r="J42"/>
      <c r="K42"/>
    </row>
    <row r="43" spans="1:11" ht="12.75">
      <c r="A43" s="52"/>
      <c r="B43" s="2"/>
      <c r="C43" s="865" t="s">
        <v>253</v>
      </c>
      <c r="D43" s="854"/>
      <c r="E43" s="859"/>
      <c r="F43" s="362" t="str">
        <f>IF(AND(E36&gt;0,F46&gt;0),F46/(SQRT(E36)),"   ")</f>
        <v>   </v>
      </c>
      <c r="G43" s="488" t="str">
        <f>IF(AND(F36&gt;0,G46&gt;0),G46/(SQRT(F36)),"   ")</f>
        <v>   </v>
      </c>
      <c r="H43" s="99"/>
      <c r="I43" s="2"/>
      <c r="J43"/>
      <c r="K43"/>
    </row>
    <row r="44" spans="1:11" ht="12.75">
      <c r="A44" s="52"/>
      <c r="B44" s="853" t="s">
        <v>254</v>
      </c>
      <c r="C44" s="863"/>
      <c r="D44" s="863"/>
      <c r="E44" s="864"/>
      <c r="F44" s="362" t="str">
        <f>IF(OR(E$36=0,E$38=0),"   ",F$42+TINV(0.05,(E$36-1))*F$43)</f>
        <v>   </v>
      </c>
      <c r="G44" s="488" t="str">
        <f>IF(OR($F$36=0,F$38=0),"   ",G$42+TINV(0.05,(F$36-1))*G$43)</f>
        <v>   </v>
      </c>
      <c r="H44" s="99"/>
      <c r="I44" s="2"/>
      <c r="J44"/>
      <c r="K44"/>
    </row>
    <row r="45" spans="1:10" ht="12.75">
      <c r="A45" s="52"/>
      <c r="B45" s="853" t="s">
        <v>101</v>
      </c>
      <c r="C45" s="863"/>
      <c r="D45" s="863"/>
      <c r="E45" s="864"/>
      <c r="F45" s="362" t="str">
        <f>IF(OR(E$36=0,E$38=0),"   ",F$42-TINV(0.05,(E$36-1))*F$43)</f>
        <v>   </v>
      </c>
      <c r="G45" s="488" t="str">
        <f>IF(OR($F$36=0,F$38=0),"   ",G$42-TINV(0.05,(F$36-1))*G$43)</f>
        <v>   </v>
      </c>
      <c r="H45" s="99"/>
      <c r="I45" s="2"/>
      <c r="J45"/>
    </row>
    <row r="46" spans="1:10" ht="13.5" thickBot="1">
      <c r="A46" s="52"/>
      <c r="B46" s="2"/>
      <c r="C46" s="858" t="s">
        <v>255</v>
      </c>
      <c r="D46" s="854"/>
      <c r="E46" s="859"/>
      <c r="F46" s="363">
        <f>IF($B$32=0,10*(E38)/($E$29-$C$29),IF($B$32=1,E38,""))</f>
        <v>0</v>
      </c>
      <c r="G46" s="489">
        <f>IF($B$32=0,10*(F38)/($E$29-$C$29),IF($B$32=1,F38,""))</f>
        <v>0</v>
      </c>
      <c r="H46" s="99"/>
      <c r="I46" s="2"/>
      <c r="J46"/>
    </row>
    <row r="47" spans="1:10" ht="13.5" thickBot="1">
      <c r="A47" s="52"/>
      <c r="B47" s="6"/>
      <c r="C47" s="6"/>
      <c r="D47" s="6"/>
      <c r="E47" s="6"/>
      <c r="F47" s="6"/>
      <c r="G47" s="6"/>
      <c r="H47" s="5"/>
      <c r="I47" s="90"/>
      <c r="J47"/>
    </row>
    <row r="48" spans="1:10" ht="13.5" thickBot="1">
      <c r="A48" s="153"/>
      <c r="B48" s="154"/>
      <c r="C48" s="154"/>
      <c r="D48" s="154"/>
      <c r="E48" s="154"/>
      <c r="F48" s="155"/>
      <c r="G48" s="156"/>
      <c r="H48" s="265"/>
      <c r="I48"/>
      <c r="J48"/>
    </row>
    <row r="49" spans="1:10" ht="12" customHeight="1">
      <c r="A49" s="218" t="s">
        <v>82</v>
      </c>
      <c r="B49" s="133"/>
      <c r="C49" s="133"/>
      <c r="D49" s="214"/>
      <c r="E49" s="532" t="str">
        <f>IF(B32=1,"Data has been transformed already","(without any transformation)")</f>
        <v>(without any transformation)</v>
      </c>
      <c r="F49" s="73"/>
      <c r="G49" s="203"/>
      <c r="H49" s="14"/>
      <c r="I49"/>
      <c r="J49"/>
    </row>
    <row r="50" spans="1:10" ht="12" customHeight="1">
      <c r="A50" s="218"/>
      <c r="B50" s="133"/>
      <c r="C50" s="133"/>
      <c r="D50" s="133"/>
      <c r="E50" s="449" t="str">
        <f>IF(AND(B32=0,'Excerpt WDH'!$C$32=1),"BUT AFTER SCALE REVERSION !"," ")</f>
        <v> </v>
      </c>
      <c r="F50" s="73"/>
      <c r="G50" s="203"/>
      <c r="H50" s="14"/>
      <c r="I50"/>
      <c r="J50"/>
    </row>
    <row r="51" spans="1:10" ht="12.75">
      <c r="A51" s="226"/>
      <c r="B51" s="490"/>
      <c r="C51" s="90"/>
      <c r="D51" s="90"/>
      <c r="E51" s="227" t="s">
        <v>197</v>
      </c>
      <c r="F51" s="73"/>
      <c r="G51" s="252" t="s">
        <v>77</v>
      </c>
      <c r="H51" s="29">
        <f>IF(B32=1,"",E37-F37)</f>
        <v>0</v>
      </c>
      <c r="I51"/>
      <c r="J51"/>
    </row>
    <row r="52" spans="1:10" ht="12.75">
      <c r="A52" s="121"/>
      <c r="B52" s="90"/>
      <c r="C52" s="90"/>
      <c r="D52" s="90"/>
      <c r="E52" s="133" t="s">
        <v>66</v>
      </c>
      <c r="F52" s="73"/>
      <c r="G52" s="203"/>
      <c r="H52" s="29" t="str">
        <f>IF(OR(B32=1,E$38*F$38=0),"   ",H$51+TINV(0.05,(E$36+F$36-2))*F$80)</f>
        <v>   </v>
      </c>
      <c r="I52"/>
      <c r="J52" s="11"/>
    </row>
    <row r="53" spans="1:10" ht="12.75">
      <c r="A53" s="121"/>
      <c r="B53" s="90"/>
      <c r="C53" s="90"/>
      <c r="D53" s="90"/>
      <c r="E53" s="133" t="s">
        <v>65</v>
      </c>
      <c r="F53" s="73"/>
      <c r="G53" s="203"/>
      <c r="H53" s="29" t="str">
        <f>IF(OR(B32=1,E$38*F$38=0),"   ",H$51-TINV(0.05,(E$36+F$36-2))*F$80)</f>
        <v>   </v>
      </c>
      <c r="I53"/>
      <c r="J53" s="11"/>
    </row>
    <row r="54" spans="1:10" ht="15.75">
      <c r="A54" s="121"/>
      <c r="B54" s="90"/>
      <c r="C54" s="90"/>
      <c r="D54" s="90"/>
      <c r="E54" s="133" t="s">
        <v>210</v>
      </c>
      <c r="F54" s="73"/>
      <c r="G54" s="803" t="str">
        <f>IF(OR(B32=1,$E$36*$F$36=0),"  ",IF(TDIST(ABS($H$51/$F$80),$E$36+$F$36-2,2)&lt;0.005,TDIST(ABS($H$51/$F$80),$E$36+$F$36-2,2),"  "))</f>
        <v>  </v>
      </c>
      <c r="H54" s="481" t="str">
        <f>IF(OR(B32=1,$E$36*$F$36=0),"  ",IF(TDIST(ABS($H$51/$F$80),$E$36+$F$36-2,2)&lt;0.005,"",TDIST(ABS($H$51/$F$80),$E$36+$F$36-2,2)))</f>
        <v>  </v>
      </c>
      <c r="I54"/>
      <c r="J54" s="11"/>
    </row>
    <row r="55" spans="1:10" ht="13.5" thickBot="1">
      <c r="A55" s="218"/>
      <c r="B55" s="133"/>
      <c r="C55" s="133"/>
      <c r="D55" s="133"/>
      <c r="E55" s="440"/>
      <c r="F55" s="441"/>
      <c r="G55" s="442"/>
      <c r="H55" s="443"/>
      <c r="I55" s="223"/>
      <c r="J55" s="11"/>
    </row>
    <row r="56" spans="1:10" ht="13.5" thickTop="1">
      <c r="A56" s="218"/>
      <c r="B56" s="133"/>
      <c r="C56" s="133"/>
      <c r="D56" s="133"/>
      <c r="E56" s="444" t="s">
        <v>64</v>
      </c>
      <c r="F56" s="445"/>
      <c r="G56" s="446"/>
      <c r="H56" s="573" t="str">
        <f>IF(H29&gt;6,"","Not recommended")</f>
        <v>Not recommended</v>
      </c>
      <c r="I56" s="223"/>
      <c r="J56" s="11"/>
    </row>
    <row r="57" spans="1:10" ht="13.5" thickBot="1">
      <c r="A57" s="226" t="s">
        <v>89</v>
      </c>
      <c r="B57" s="133"/>
      <c r="C57" s="133"/>
      <c r="D57" s="133"/>
      <c r="E57" s="227" t="s">
        <v>78</v>
      </c>
      <c r="F57" s="73"/>
      <c r="G57" s="252" t="s">
        <v>77</v>
      </c>
      <c r="H57" s="29">
        <f>C58-C59</f>
        <v>0</v>
      </c>
      <c r="I57"/>
      <c r="J57" s="11"/>
    </row>
    <row r="58" spans="1:10" ht="13.5" thickBot="1">
      <c r="A58" s="121" t="s">
        <v>217</v>
      </c>
      <c r="B58" s="133"/>
      <c r="C58" s="451">
        <f>F42</f>
        <v>-5</v>
      </c>
      <c r="D58" s="133"/>
      <c r="E58" s="133" t="s">
        <v>66</v>
      </c>
      <c r="F58" s="73"/>
      <c r="G58" s="203"/>
      <c r="H58" s="29" t="str">
        <f>IF(E$38*F$38=0,"   ",H$57+TINV(0.05,(E$36+F$36-2))*F$81)</f>
        <v>   </v>
      </c>
      <c r="I58"/>
      <c r="J58" s="11"/>
    </row>
    <row r="59" spans="1:10" ht="13.5" thickBot="1">
      <c r="A59" s="121" t="s">
        <v>218</v>
      </c>
      <c r="B59" s="133"/>
      <c r="C59" s="451">
        <f>G42</f>
        <v>-5</v>
      </c>
      <c r="D59" s="133"/>
      <c r="E59" s="133" t="s">
        <v>65</v>
      </c>
      <c r="F59" s="73"/>
      <c r="G59" s="203"/>
      <c r="H59" s="29" t="str">
        <f>IF(E$38*F$38=0,"   ",H$57-TINV(0.05,(E$36+F$36-2))*F$81)</f>
        <v>   </v>
      </c>
      <c r="I59"/>
      <c r="J59" s="11"/>
    </row>
    <row r="60" spans="1:10" ht="15.75">
      <c r="A60" s="121"/>
      <c r="B60" s="133"/>
      <c r="C60" s="133"/>
      <c r="D60" s="133"/>
      <c r="E60" s="133" t="s">
        <v>209</v>
      </c>
      <c r="F60" s="73"/>
      <c r="G60" s="803" t="str">
        <f>IF($E$36*$F$36=0,"  ",IF(TDIST(ABS((E37-F37)/$F$80),$E$36+$F$36-2,2)&lt;0.005,TDIST(ABS((E37-F37)/$F$80),$E$36+$F$36-2,2),"  "))</f>
        <v>  </v>
      </c>
      <c r="H60" s="481" t="str">
        <f>IF($E$36*$F$36=0,"  ",IF(TDIST(ABS((E37-F37)/$F$80),$E$36+$F$36-2,2)&lt;0.005,"",TDIST(ABS((E37-F37)/$F$80),$E$36+$F$36-2,2)))</f>
        <v>  </v>
      </c>
      <c r="I60"/>
      <c r="J60" s="11"/>
    </row>
    <row r="61" spans="1:10" ht="13.5" thickBot="1">
      <c r="A61" s="482"/>
      <c r="B61" s="483" t="str">
        <f>IF(E38*F38=0,"If no standard deviations are entered, no confidence limits for the true but","    ")</f>
        <v>If no standard deviations are entered, no confidence limits for the true but</v>
      </c>
      <c r="C61" s="483"/>
      <c r="D61" s="483"/>
      <c r="E61" s="483"/>
      <c r="F61" s="483"/>
      <c r="G61" s="483"/>
      <c r="H61" s="485"/>
      <c r="I61"/>
      <c r="J61" s="11"/>
    </row>
    <row r="62" spans="1:10" ht="13.5" thickTop="1">
      <c r="A62" s="279"/>
      <c r="B62" s="280"/>
      <c r="C62" s="853" t="s">
        <v>206</v>
      </c>
      <c r="D62" s="854"/>
      <c r="E62" s="854"/>
      <c r="F62" s="855"/>
      <c r="G62" s="533" t="e">
        <f>H57/F82</f>
        <v>#DIV/0!</v>
      </c>
      <c r="H62" s="281"/>
      <c r="I62"/>
      <c r="J62" s="11"/>
    </row>
    <row r="63" spans="1:10" ht="12.75">
      <c r="A63" s="279"/>
      <c r="B63" s="280"/>
      <c r="C63" s="355"/>
      <c r="D63" s="355"/>
      <c r="E63" s="355"/>
      <c r="F63" s="355"/>
      <c r="G63" s="301"/>
      <c r="H63" s="281"/>
      <c r="I63"/>
      <c r="J63" s="11"/>
    </row>
    <row r="64" spans="1:10" ht="12.75">
      <c r="A64" s="279"/>
      <c r="B64" s="280"/>
      <c r="C64" s="853" t="s">
        <v>207</v>
      </c>
      <c r="D64" s="854"/>
      <c r="E64" s="854"/>
      <c r="F64" s="855"/>
      <c r="G64" s="304" t="e">
        <f>E86/E88</f>
        <v>#DIV/0!</v>
      </c>
      <c r="H64" s="281"/>
      <c r="I64"/>
      <c r="J64" s="11"/>
    </row>
    <row r="65" spans="1:10" ht="13.5" thickBot="1">
      <c r="A65" s="482"/>
      <c r="B65" s="483" t="str">
        <f>IF(E38*F38=0,"unknown mean difference and no P2-value can be computed.","   ")</f>
        <v>unknown mean difference and no P2-value can be computed.</v>
      </c>
      <c r="C65" s="483"/>
      <c r="D65" s="484"/>
      <c r="E65" s="483"/>
      <c r="F65" s="483"/>
      <c r="G65" s="483"/>
      <c r="H65" s="485"/>
      <c r="I65"/>
      <c r="J65" s="11"/>
    </row>
    <row r="66" spans="1:10" ht="14.25" thickBot="1" thickTop="1">
      <c r="A66" s="476"/>
      <c r="B66" s="477"/>
      <c r="C66" s="477"/>
      <c r="D66" s="477"/>
      <c r="E66" s="477"/>
      <c r="F66" s="478"/>
      <c r="G66" s="479"/>
      <c r="H66" s="480"/>
      <c r="I66"/>
      <c r="J66" s="11"/>
    </row>
    <row r="67" spans="1:10" ht="12.75">
      <c r="A67" s="218" t="s">
        <v>113</v>
      </c>
      <c r="B67" s="133"/>
      <c r="C67" s="133"/>
      <c r="D67" s="133"/>
      <c r="E67" s="133"/>
      <c r="F67" s="73"/>
      <c r="G67" s="203"/>
      <c r="H67" s="204"/>
      <c r="J67" s="287"/>
    </row>
    <row r="68" spans="1:10" ht="12.75">
      <c r="A68" s="307"/>
      <c r="B68" s="308"/>
      <c r="C68" s="308"/>
      <c r="D68" s="308"/>
      <c r="E68" s="308"/>
      <c r="F68" s="309"/>
      <c r="G68" s="310"/>
      <c r="H68" s="312"/>
      <c r="J68" s="287"/>
    </row>
    <row r="69" spans="1:10" ht="12.75">
      <c r="A69" s="307"/>
      <c r="B69" s="308"/>
      <c r="C69" s="308"/>
      <c r="D69" s="308"/>
      <c r="E69" s="308"/>
      <c r="F69" s="309"/>
      <c r="G69" s="310"/>
      <c r="H69" s="312"/>
      <c r="J69" s="287"/>
    </row>
    <row r="70" spans="1:10" ht="12.75">
      <c r="A70" s="307"/>
      <c r="B70" s="308"/>
      <c r="C70" s="308"/>
      <c r="D70" s="308"/>
      <c r="E70" s="308"/>
      <c r="F70" s="309"/>
      <c r="G70" s="310"/>
      <c r="H70" s="312"/>
      <c r="J70" s="287"/>
    </row>
    <row r="71" spans="1:10" ht="12.75">
      <c r="A71" s="307"/>
      <c r="B71" s="308"/>
      <c r="C71" s="308"/>
      <c r="D71" s="308"/>
      <c r="E71" s="308"/>
      <c r="F71" s="309"/>
      <c r="G71" s="310"/>
      <c r="H71" s="312"/>
      <c r="J71" s="287"/>
    </row>
    <row r="72" spans="1:10" ht="12.75">
      <c r="A72" s="307"/>
      <c r="B72" s="308"/>
      <c r="C72" s="308"/>
      <c r="D72" s="308"/>
      <c r="E72" s="308"/>
      <c r="F72" s="309"/>
      <c r="G72" s="310"/>
      <c r="H72" s="312"/>
      <c r="J72" s="287"/>
    </row>
    <row r="73" spans="1:10" ht="12.75">
      <c r="A73" s="307"/>
      <c r="B73" s="308"/>
      <c r="C73" s="308"/>
      <c r="D73" s="308"/>
      <c r="E73" s="308"/>
      <c r="F73" s="309"/>
      <c r="G73" s="310"/>
      <c r="H73" s="312"/>
      <c r="J73" s="287"/>
    </row>
    <row r="74" spans="1:10" ht="12.75">
      <c r="A74" s="307"/>
      <c r="B74" s="308"/>
      <c r="C74" s="308"/>
      <c r="D74" s="308"/>
      <c r="E74" s="308"/>
      <c r="F74" s="309"/>
      <c r="G74" s="310"/>
      <c r="H74" s="312"/>
      <c r="J74" s="287"/>
    </row>
    <row r="75" spans="1:10" ht="12.75">
      <c r="A75" s="307"/>
      <c r="B75" s="308"/>
      <c r="C75" s="308"/>
      <c r="D75" s="308"/>
      <c r="E75" s="308"/>
      <c r="F75" s="309"/>
      <c r="G75" s="310"/>
      <c r="H75" s="312"/>
      <c r="J75" s="287"/>
    </row>
    <row r="76" spans="1:10" ht="12.75">
      <c r="A76" s="307"/>
      <c r="B76" s="308"/>
      <c r="C76" s="308"/>
      <c r="D76" s="308"/>
      <c r="E76" s="308"/>
      <c r="F76" s="309"/>
      <c r="G76" s="310"/>
      <c r="H76" s="312"/>
      <c r="J76" s="287"/>
    </row>
    <row r="77" spans="1:10" ht="13.5" thickBot="1">
      <c r="A77" s="307"/>
      <c r="B77" s="308"/>
      <c r="C77" s="308"/>
      <c r="D77" s="308"/>
      <c r="E77" s="308"/>
      <c r="F77" s="309"/>
      <c r="G77" s="310"/>
      <c r="H77" s="312"/>
      <c r="J77" s="287"/>
    </row>
    <row r="78" spans="1:10" ht="13.5" thickBot="1">
      <c r="A78" s="153"/>
      <c r="B78" s="154"/>
      <c r="C78" s="154"/>
      <c r="D78" s="154"/>
      <c r="E78" s="154"/>
      <c r="F78" s="155"/>
      <c r="G78" s="156"/>
      <c r="H78" s="157"/>
      <c r="J78" s="287"/>
    </row>
    <row r="79" spans="1:10" ht="12.75">
      <c r="A79" s="34"/>
      <c r="B79" s="6"/>
      <c r="C79" s="6"/>
      <c r="D79" s="6"/>
      <c r="E79" s="6"/>
      <c r="F79" s="6"/>
      <c r="G79" s="6"/>
      <c r="H79" s="5"/>
      <c r="I79"/>
      <c r="J79" s="11"/>
    </row>
    <row r="80" spans="1:10" ht="12.75">
      <c r="A80" s="86"/>
      <c r="B80" s="6"/>
      <c r="C80" s="6"/>
      <c r="D80" s="6"/>
      <c r="E80" s="4" t="s">
        <v>110</v>
      </c>
      <c r="F80" s="271" t="str">
        <f>IF(E38*F38=0,"UNKNOWN",SQRT(E38*E38/E36+F38*F38/F36))</f>
        <v>UNKNOWN</v>
      </c>
      <c r="G80" s="6"/>
      <c r="H80" s="333">
        <f>'Excerpt WDH'!I9</f>
        <v>4</v>
      </c>
      <c r="I80"/>
      <c r="J80" s="11"/>
    </row>
    <row r="81" spans="2:10" ht="12.75">
      <c r="B81" s="6"/>
      <c r="C81" s="6"/>
      <c r="D81" s="6" t="s">
        <v>104</v>
      </c>
      <c r="E81" s="6"/>
      <c r="F81" s="271" t="str">
        <f>IF(E38*F38=0,"UNKNOWN",SQRT(F46*F46/E36+G46*G46/F36))</f>
        <v>UNKNOWN</v>
      </c>
      <c r="G81" s="6"/>
      <c r="H81" s="5"/>
      <c r="I81"/>
      <c r="J81" s="11"/>
    </row>
    <row r="82" spans="1:10" ht="12.75">
      <c r="A82" s="34"/>
      <c r="B82" s="6"/>
      <c r="C82" s="6"/>
      <c r="D82" s="6"/>
      <c r="E82" s="4" t="s">
        <v>105</v>
      </c>
      <c r="F82" s="306">
        <f>SQRT(E87/(E36+F36-2))</f>
        <v>0</v>
      </c>
      <c r="G82" s="6"/>
      <c r="H82" s="5"/>
      <c r="I82"/>
      <c r="J82" s="11"/>
    </row>
    <row r="83" spans="1:10" ht="12.75">
      <c r="A83" s="34"/>
      <c r="B83" s="6"/>
      <c r="C83" s="6"/>
      <c r="D83" s="6"/>
      <c r="E83" s="6"/>
      <c r="F83" s="271"/>
      <c r="G83" s="6"/>
      <c r="H83" s="5"/>
      <c r="I83"/>
      <c r="J83" s="11"/>
    </row>
    <row r="84" spans="1:10" ht="12.75">
      <c r="A84" s="34" t="s">
        <v>111</v>
      </c>
      <c r="B84" s="6"/>
      <c r="C84" s="6"/>
      <c r="D84" s="6"/>
      <c r="E84" s="4" t="s">
        <v>184</v>
      </c>
      <c r="F84" s="271"/>
      <c r="G84" s="6"/>
      <c r="H84" s="5"/>
      <c r="I84"/>
      <c r="J84" s="11"/>
    </row>
    <row r="85" spans="1:10" ht="12.75">
      <c r="A85" s="34"/>
      <c r="B85" s="6"/>
      <c r="C85" s="6"/>
      <c r="D85" s="475" t="s">
        <v>106</v>
      </c>
      <c r="E85" s="305" t="e">
        <f>(E36*F42+F36*G42)/(E36+F36)</f>
        <v>#DIV/0!</v>
      </c>
      <c r="F85" s="2"/>
      <c r="G85" s="6"/>
      <c r="H85" s="5"/>
      <c r="I85"/>
      <c r="J85" s="11"/>
    </row>
    <row r="86" spans="1:10" ht="12.75">
      <c r="A86" s="34"/>
      <c r="B86" s="6"/>
      <c r="C86" s="6"/>
      <c r="D86" s="6" t="s">
        <v>107</v>
      </c>
      <c r="E86" s="305" t="e">
        <f>E36*(F42-E85)*(F42-E85)+F36*(G42-E85)*(G42-E85)</f>
        <v>#DIV/0!</v>
      </c>
      <c r="F86" s="2"/>
      <c r="G86" s="6"/>
      <c r="H86" s="5"/>
      <c r="I86"/>
      <c r="J86" s="11"/>
    </row>
    <row r="87" spans="1:10" ht="12.75">
      <c r="A87" s="34"/>
      <c r="B87" s="6"/>
      <c r="C87" s="6"/>
      <c r="D87" s="6" t="s">
        <v>108</v>
      </c>
      <c r="E87" s="305">
        <f>(E36-1)*F46*F46+(F36-1)*G46*G46</f>
        <v>0</v>
      </c>
      <c r="F87" s="2"/>
      <c r="G87" s="6"/>
      <c r="H87" s="5"/>
      <c r="I87"/>
      <c r="J87" s="11"/>
    </row>
    <row r="88" spans="1:10" ht="12.75">
      <c r="A88" s="34"/>
      <c r="B88" s="6"/>
      <c r="C88" s="6"/>
      <c r="D88" s="6" t="s">
        <v>109</v>
      </c>
      <c r="E88" s="305" t="e">
        <f>E86+E87</f>
        <v>#DIV/0!</v>
      </c>
      <c r="F88" s="2"/>
      <c r="G88" s="6"/>
      <c r="H88" s="5"/>
      <c r="I88"/>
      <c r="J88" s="11"/>
    </row>
    <row r="89" spans="1:10" ht="13.5" thickBot="1">
      <c r="A89" s="272"/>
      <c r="B89" s="6"/>
      <c r="C89" s="6"/>
      <c r="D89" s="6"/>
      <c r="E89" s="6"/>
      <c r="F89" s="6"/>
      <c r="G89" s="6"/>
      <c r="H89" s="5"/>
      <c r="I89" s="11"/>
      <c r="J89" s="11"/>
    </row>
    <row r="90" spans="1:10" ht="13.5" thickBot="1">
      <c r="A90" s="153"/>
      <c r="B90" s="154"/>
      <c r="C90" s="154"/>
      <c r="D90" s="154"/>
      <c r="E90" s="154"/>
      <c r="F90" s="155"/>
      <c r="G90" s="156"/>
      <c r="H90" s="265"/>
      <c r="I90" s="11"/>
      <c r="J90" s="11"/>
    </row>
    <row r="91" spans="1:10" ht="12.75">
      <c r="A91" s="385" t="s">
        <v>185</v>
      </c>
      <c r="B91" s="386"/>
      <c r="C91" s="386"/>
      <c r="D91" s="388" t="s">
        <v>177</v>
      </c>
      <c r="E91" s="386"/>
      <c r="F91" s="386"/>
      <c r="G91" s="386"/>
      <c r="H91" s="387"/>
      <c r="I91" s="11"/>
      <c r="J91" s="11"/>
    </row>
    <row r="92" spans="1:10" ht="13.5" thickBot="1">
      <c r="A92" s="385"/>
      <c r="B92" s="344"/>
      <c r="C92" s="386"/>
      <c r="D92" s="12"/>
      <c r="E92" s="386"/>
      <c r="F92" s="386"/>
      <c r="G92" s="386"/>
      <c r="H92" s="387"/>
      <c r="I92" s="11"/>
      <c r="J92" s="11"/>
    </row>
    <row r="93" spans="1:10" ht="12.75">
      <c r="A93" s="385"/>
      <c r="B93" s="386"/>
      <c r="C93" s="6"/>
      <c r="D93" s="230" t="s">
        <v>174</v>
      </c>
      <c r="E93" s="389">
        <v>1</v>
      </c>
      <c r="F93" s="390">
        <v>2</v>
      </c>
      <c r="G93" s="393" t="s">
        <v>179</v>
      </c>
      <c r="H93" s="99"/>
      <c r="I93" s="11"/>
      <c r="J93" s="11"/>
    </row>
    <row r="94" spans="1:10" ht="13.5" thickBot="1">
      <c r="A94" s="385"/>
      <c r="B94" s="386"/>
      <c r="C94" s="6"/>
      <c r="D94" s="230" t="s">
        <v>178</v>
      </c>
      <c r="E94" s="391" t="s">
        <v>119</v>
      </c>
      <c r="F94" s="392" t="s">
        <v>120</v>
      </c>
      <c r="G94" s="402"/>
      <c r="H94" s="99"/>
      <c r="I94" s="11"/>
      <c r="J94" s="11"/>
    </row>
    <row r="95" spans="1:10" ht="12.75">
      <c r="A95" s="385"/>
      <c r="B95" s="386"/>
      <c r="C95" s="6"/>
      <c r="D95" s="230" t="s">
        <v>122</v>
      </c>
      <c r="E95" s="394">
        <v>9</v>
      </c>
      <c r="F95" s="185">
        <v>32</v>
      </c>
      <c r="G95" s="401">
        <f>SUM(E95:F95)</f>
        <v>41</v>
      </c>
      <c r="H95" s="99"/>
      <c r="I95" s="11"/>
      <c r="J95" s="11"/>
    </row>
    <row r="96" spans="1:10" ht="12.75">
      <c r="A96" s="385"/>
      <c r="B96" s="386"/>
      <c r="C96" s="6"/>
      <c r="D96" s="230" t="s">
        <v>175</v>
      </c>
      <c r="E96" s="395">
        <v>6</v>
      </c>
      <c r="F96" s="396">
        <v>6.91</v>
      </c>
      <c r="G96" s="397">
        <f>IF(G95&gt;1,(E95*E96+F95*F96)/G95," ")</f>
        <v>6.710243902439024</v>
      </c>
      <c r="H96" s="99"/>
      <c r="I96" s="11"/>
      <c r="J96" s="11"/>
    </row>
    <row r="97" spans="1:10" ht="13.5" thickBot="1">
      <c r="A97" s="385"/>
      <c r="B97" s="386"/>
      <c r="C97" s="6"/>
      <c r="D97" s="230" t="s">
        <v>176</v>
      </c>
      <c r="E97" s="398">
        <v>2.96</v>
      </c>
      <c r="F97" s="399">
        <v>1.91</v>
      </c>
      <c r="G97" s="400">
        <f>IF(G95&gt;2,SQRT(((E95-1)*E97*E97+(F95-1)*F97*F97)/(G95-2))," ")</f>
        <v>2.167261654005597</v>
      </c>
      <c r="H97" s="99"/>
      <c r="I97" s="11"/>
      <c r="J97" s="11"/>
    </row>
    <row r="98" spans="1:10" ht="12.75">
      <c r="A98" s="272"/>
      <c r="B98" s="6"/>
      <c r="C98" s="6"/>
      <c r="D98" s="6"/>
      <c r="E98" s="6"/>
      <c r="F98" s="6"/>
      <c r="G98" s="6"/>
      <c r="H98" s="5"/>
      <c r="I98" s="11"/>
      <c r="J98" s="11"/>
    </row>
    <row r="99" spans="1:10" ht="12.75">
      <c r="A99" s="385" t="s">
        <v>186</v>
      </c>
      <c r="B99" s="6"/>
      <c r="C99" s="6"/>
      <c r="D99" s="6"/>
      <c r="E99" s="6"/>
      <c r="F99" s="6"/>
      <c r="G99" s="6"/>
      <c r="H99" s="5"/>
      <c r="I99" s="11"/>
      <c r="J99" s="11"/>
    </row>
    <row r="100" spans="1:10" ht="12.75">
      <c r="A100" s="437"/>
      <c r="B100" s="2"/>
      <c r="C100" s="2"/>
      <c r="D100" s="438" t="s">
        <v>189</v>
      </c>
      <c r="E100" s="2"/>
      <c r="F100" s="2"/>
      <c r="G100" s="2"/>
      <c r="H100" s="5"/>
      <c r="J100" s="11"/>
    </row>
    <row r="101" spans="1:10" ht="12.75">
      <c r="A101" s="437"/>
      <c r="B101" s="2"/>
      <c r="C101" s="2"/>
      <c r="D101" s="2"/>
      <c r="E101" s="2"/>
      <c r="F101" s="2"/>
      <c r="G101" s="439"/>
      <c r="H101" s="5"/>
      <c r="J101" s="11"/>
    </row>
    <row r="102" spans="1:10" ht="12.75">
      <c r="A102" s="437"/>
      <c r="B102" s="2"/>
      <c r="C102" s="355" t="s">
        <v>170</v>
      </c>
      <c r="D102" s="382"/>
      <c r="E102" s="2"/>
      <c r="F102" s="2"/>
      <c r="G102" s="439"/>
      <c r="H102" s="5"/>
      <c r="J102" s="11"/>
    </row>
    <row r="103" spans="1:10" ht="12.75">
      <c r="A103" s="437"/>
      <c r="B103" s="2"/>
      <c r="C103" s="355" t="s">
        <v>171</v>
      </c>
      <c r="D103" s="382"/>
      <c r="E103" s="2"/>
      <c r="F103" s="2"/>
      <c r="G103" s="439"/>
      <c r="H103" s="5"/>
      <c r="J103" s="11"/>
    </row>
    <row r="104" spans="1:10" ht="12.75">
      <c r="A104" s="437"/>
      <c r="B104" s="2"/>
      <c r="C104" s="355" t="s">
        <v>172</v>
      </c>
      <c r="D104" s="382"/>
      <c r="E104" s="355" t="s">
        <v>172</v>
      </c>
      <c r="F104" s="383">
        <f>IF(D102+D103=D104,D104,IF(D104=0,D102+D103,"ERROR !!"))</f>
        <v>0</v>
      </c>
      <c r="G104" s="439"/>
      <c r="H104" s="5"/>
      <c r="J104" s="11"/>
    </row>
    <row r="105" spans="1:10" ht="13.5" thickBot="1">
      <c r="A105" s="437"/>
      <c r="B105" s="2"/>
      <c r="C105" s="2"/>
      <c r="D105" s="2"/>
      <c r="E105" s="2"/>
      <c r="F105" s="2"/>
      <c r="G105" s="439"/>
      <c r="H105" s="5"/>
      <c r="J105" s="11"/>
    </row>
    <row r="106" spans="1:10" ht="13.5" thickBot="1">
      <c r="A106" s="437"/>
      <c r="B106" s="2"/>
      <c r="C106" s="2"/>
      <c r="D106" s="384"/>
      <c r="E106" s="435" t="s">
        <v>187</v>
      </c>
      <c r="F106" s="381" t="str">
        <f>IF(F104&lt;4," ",F107*(SQRT((F104-2)/F104)))</f>
        <v> </v>
      </c>
      <c r="G106" s="439"/>
      <c r="H106" s="5"/>
      <c r="J106" s="11"/>
    </row>
    <row r="107" spans="1:10" ht="13.5" thickBot="1">
      <c r="A107" s="437"/>
      <c r="B107" s="2"/>
      <c r="C107" s="2"/>
      <c r="D107" s="381" t="str">
        <f>IF(F104&lt;4," ",D106*(SQRT(F104/(F104-2))))</f>
        <v> </v>
      </c>
      <c r="E107" s="435" t="s">
        <v>188</v>
      </c>
      <c r="F107" s="384"/>
      <c r="G107" s="439"/>
      <c r="H107" s="5"/>
      <c r="J107" s="11"/>
    </row>
    <row r="108" spans="1:10" ht="12.75">
      <c r="A108" s="52"/>
      <c r="B108" s="67"/>
      <c r="C108" s="67"/>
      <c r="D108" s="67"/>
      <c r="E108" s="67"/>
      <c r="F108" s="67"/>
      <c r="G108" s="67"/>
      <c r="H108" s="288"/>
      <c r="J108" s="11"/>
    </row>
    <row r="109" spans="1:10" ht="13.5" thickBot="1">
      <c r="A109" s="272"/>
      <c r="B109" s="6"/>
      <c r="C109" s="6"/>
      <c r="D109" s="6"/>
      <c r="E109" s="6"/>
      <c r="F109" s="6"/>
      <c r="G109" s="6"/>
      <c r="H109" s="5"/>
      <c r="I109" s="11"/>
      <c r="J109" s="11"/>
    </row>
    <row r="110" spans="1:9" ht="14.25" thickBot="1" thickTop="1">
      <c r="A110" s="273"/>
      <c r="B110" s="530" t="str">
        <f>'Abs Freq'!B191</f>
        <v>2007-08-15</v>
      </c>
      <c r="C110" s="274"/>
      <c r="D110" s="274"/>
      <c r="E110" s="275" t="s">
        <v>42</v>
      </c>
      <c r="F110" s="274"/>
      <c r="G110" s="274"/>
      <c r="H110" s="531" t="s">
        <v>244</v>
      </c>
      <c r="I110"/>
    </row>
    <row r="111" spans="1:9" ht="13.5" thickTop="1">
      <c r="A111" s="276"/>
      <c r="B111" s="276"/>
      <c r="C111" s="276"/>
      <c r="D111" s="276"/>
      <c r="E111" s="277"/>
      <c r="F111" s="276"/>
      <c r="G111" s="276"/>
      <c r="H111" s="276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1:9" ht="12.75">
      <c r="A201"/>
      <c r="B201"/>
      <c r="C201"/>
      <c r="D201"/>
      <c r="E201"/>
      <c r="F201"/>
      <c r="G201"/>
      <c r="H201"/>
      <c r="I201"/>
    </row>
    <row r="202" spans="1:9" ht="12.75">
      <c r="A202"/>
      <c r="B202"/>
      <c r="C202"/>
      <c r="D202"/>
      <c r="E202"/>
      <c r="F202"/>
      <c r="G202"/>
      <c r="H202"/>
      <c r="I202"/>
    </row>
    <row r="203" spans="1:9" ht="12.75">
      <c r="A203"/>
      <c r="B203"/>
      <c r="C203"/>
      <c r="D203"/>
      <c r="E203"/>
      <c r="F203"/>
      <c r="G203"/>
      <c r="H203"/>
      <c r="I203"/>
    </row>
    <row r="204" spans="1:9" ht="12.75">
      <c r="A204"/>
      <c r="B204"/>
      <c r="C204"/>
      <c r="D204"/>
      <c r="E204"/>
      <c r="F204"/>
      <c r="G204"/>
      <c r="H204"/>
      <c r="I204"/>
    </row>
    <row r="205" spans="1:9" ht="12.75">
      <c r="A205"/>
      <c r="B205"/>
      <c r="C205"/>
      <c r="D205"/>
      <c r="E205"/>
      <c r="F205"/>
      <c r="G205"/>
      <c r="H205"/>
      <c r="I205"/>
    </row>
    <row r="206" spans="1:9" ht="12.75">
      <c r="A206"/>
      <c r="B206"/>
      <c r="C206"/>
      <c r="D206"/>
      <c r="E206"/>
      <c r="F206"/>
      <c r="G206"/>
      <c r="H206"/>
      <c r="I206"/>
    </row>
    <row r="207" spans="1:9" ht="12.75">
      <c r="A207"/>
      <c r="B207"/>
      <c r="C207"/>
      <c r="D207"/>
      <c r="E207"/>
      <c r="F207"/>
      <c r="G207"/>
      <c r="H207"/>
      <c r="I207"/>
    </row>
    <row r="208" spans="1:9" ht="12.75">
      <c r="A208"/>
      <c r="B208"/>
      <c r="C208"/>
      <c r="D208"/>
      <c r="E208"/>
      <c r="F208"/>
      <c r="G208"/>
      <c r="H208"/>
      <c r="I208"/>
    </row>
    <row r="209" spans="1:9" ht="12.75">
      <c r="A209"/>
      <c r="B209"/>
      <c r="C209"/>
      <c r="D209"/>
      <c r="E209"/>
      <c r="F209"/>
      <c r="G209"/>
      <c r="H209"/>
      <c r="I209"/>
    </row>
    <row r="210" spans="1:9" ht="12.75">
      <c r="A210"/>
      <c r="B210"/>
      <c r="C210"/>
      <c r="D210"/>
      <c r="E210"/>
      <c r="F210"/>
      <c r="G210"/>
      <c r="H210"/>
      <c r="I210"/>
    </row>
    <row r="211" spans="1:9" ht="12.75">
      <c r="A211"/>
      <c r="B211"/>
      <c r="C211"/>
      <c r="D211"/>
      <c r="E211"/>
      <c r="F211"/>
      <c r="G211"/>
      <c r="H211"/>
      <c r="I211"/>
    </row>
    <row r="212" spans="1:9" ht="12.75">
      <c r="A212"/>
      <c r="B212"/>
      <c r="C212"/>
      <c r="D212"/>
      <c r="E212"/>
      <c r="F212"/>
      <c r="G212"/>
      <c r="H212"/>
      <c r="I212"/>
    </row>
    <row r="213" spans="1:9" ht="12.75">
      <c r="A213"/>
      <c r="B213"/>
      <c r="C213"/>
      <c r="D213"/>
      <c r="E213"/>
      <c r="F213"/>
      <c r="G213"/>
      <c r="H213"/>
      <c r="I213"/>
    </row>
    <row r="214" spans="1:9" ht="12.75">
      <c r="A214"/>
      <c r="B214"/>
      <c r="C214"/>
      <c r="D214"/>
      <c r="E214"/>
      <c r="F214"/>
      <c r="G214"/>
      <c r="H214"/>
      <c r="I214"/>
    </row>
    <row r="215" spans="1:9" ht="12.75">
      <c r="A215"/>
      <c r="B215"/>
      <c r="C215"/>
      <c r="D215"/>
      <c r="E215"/>
      <c r="F215"/>
      <c r="G215"/>
      <c r="H215"/>
      <c r="I215"/>
    </row>
    <row r="216" spans="1:9" ht="12.75">
      <c r="A216"/>
      <c r="B216"/>
      <c r="C216"/>
      <c r="D216"/>
      <c r="E216"/>
      <c r="F216"/>
      <c r="G216"/>
      <c r="H216"/>
      <c r="I216"/>
    </row>
    <row r="217" ht="12.75">
      <c r="F217" s="2"/>
    </row>
  </sheetData>
  <sheetProtection password="C550" sheet="1" objects="1" scenarios="1"/>
  <mergeCells count="10">
    <mergeCell ref="C62:F62"/>
    <mergeCell ref="C64:F64"/>
    <mergeCell ref="A5:H5"/>
    <mergeCell ref="C46:E46"/>
    <mergeCell ref="C41:E41"/>
    <mergeCell ref="B34:E34"/>
    <mergeCell ref="B42:E42"/>
    <mergeCell ref="B44:E44"/>
    <mergeCell ref="B45:E45"/>
    <mergeCell ref="C43:E43"/>
  </mergeCells>
  <conditionalFormatting sqref="G57 G51">
    <cfRule type="expression" priority="1" dxfId="0" stopIfTrue="1">
      <formula>H51&lt;0</formula>
    </cfRule>
  </conditionalFormatting>
  <conditionalFormatting sqref="E49:E54">
    <cfRule type="expression" priority="2" dxfId="2" stopIfTrue="1">
      <formula>B32=1</formula>
    </cfRule>
  </conditionalFormatting>
  <conditionalFormatting sqref="H57 H51">
    <cfRule type="cellIs" priority="3" dxfId="0" operator="lessThan" stopIfTrue="1">
      <formula>0</formula>
    </cfRule>
  </conditionalFormatting>
  <conditionalFormatting sqref="H58:H59 H52:H53 F44:G45">
    <cfRule type="cellIs" priority="4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Z249"/>
  <sheetViews>
    <sheetView showGridLines="0" zoomScale="105" zoomScaleNormal="105" zoomScalePageLayoutView="0" workbookViewId="0" topLeftCell="A34">
      <selection activeCell="F8" sqref="F8"/>
    </sheetView>
  </sheetViews>
  <sheetFormatPr defaultColWidth="9.625" defaultRowHeight="12.75"/>
  <cols>
    <col min="1" max="1" width="22.625" style="0" customWidth="1"/>
    <col min="2" max="2" width="15.625" style="0" customWidth="1"/>
    <col min="3" max="3" width="16.75390625" style="0" customWidth="1"/>
    <col min="4" max="4" width="17.75390625" style="0" customWidth="1"/>
  </cols>
  <sheetData>
    <row r="1" spans="1:26" ht="14.25" thickBot="1" thickTop="1">
      <c r="A1" s="613" t="s">
        <v>283</v>
      </c>
      <c r="B1" s="611"/>
      <c r="C1" s="611"/>
      <c r="D1" s="612"/>
      <c r="E1" s="28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thickBot="1">
      <c r="A2" s="589" t="s">
        <v>267</v>
      </c>
      <c r="B2" s="868" t="s">
        <v>268</v>
      </c>
      <c r="C2" s="869"/>
      <c r="D2" s="537"/>
      <c r="E2" s="28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590" t="s">
        <v>269</v>
      </c>
      <c r="B3" s="591" t="s">
        <v>98</v>
      </c>
      <c r="C3" s="592"/>
      <c r="D3" s="5"/>
      <c r="E3" s="28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thickBot="1">
      <c r="A4" s="588" t="s">
        <v>264</v>
      </c>
      <c r="B4" s="9" t="s">
        <v>262</v>
      </c>
      <c r="C4" s="9" t="s">
        <v>263</v>
      </c>
      <c r="D4" s="5"/>
      <c r="E4" s="28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thickBot="1">
      <c r="A5" s="614" t="s">
        <v>284</v>
      </c>
      <c r="B5" s="615" t="s">
        <v>94</v>
      </c>
      <c r="C5" s="616" t="s">
        <v>95</v>
      </c>
      <c r="D5" s="617" t="s">
        <v>92</v>
      </c>
      <c r="E5" s="28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642" customFormat="1" ht="12.75">
      <c r="A6" s="638" t="s">
        <v>96</v>
      </c>
      <c r="B6" s="639">
        <v>25</v>
      </c>
      <c r="C6" s="640">
        <v>120</v>
      </c>
      <c r="D6" s="618">
        <f>B6+C6</f>
        <v>145</v>
      </c>
      <c r="E6" s="6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</row>
    <row r="7" spans="1:26" s="642" customFormat="1" ht="13.5" thickBot="1">
      <c r="A7" s="638" t="s">
        <v>97</v>
      </c>
      <c r="B7" s="643">
        <v>15</v>
      </c>
      <c r="C7" s="644">
        <v>40</v>
      </c>
      <c r="D7" s="618">
        <f>B7+C7</f>
        <v>55</v>
      </c>
      <c r="E7" s="6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541"/>
      <c r="V7" s="541"/>
      <c r="W7" s="541"/>
      <c r="X7" s="541"/>
      <c r="Y7" s="541"/>
      <c r="Z7" s="541"/>
    </row>
    <row r="8" spans="1:26" s="642" customFormat="1" ht="13.5" thickBot="1">
      <c r="A8" s="719" t="s">
        <v>15</v>
      </c>
      <c r="B8" s="720">
        <f>B6+B7</f>
        <v>40</v>
      </c>
      <c r="C8" s="721">
        <f>C6+C7</f>
        <v>160</v>
      </c>
      <c r="D8" s="722">
        <f>D6+D7</f>
        <v>200</v>
      </c>
      <c r="E8" s="6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541"/>
    </row>
    <row r="9" spans="1:26" s="642" customFormat="1" ht="13.5" thickBot="1">
      <c r="A9" s="814" t="str">
        <f>IF(D9&gt;0.5,"FISHER's EXACT TEST IS RECOMMENDED !!","    ")</f>
        <v>    </v>
      </c>
      <c r="B9" s="727"/>
      <c r="C9" s="727"/>
      <c r="D9" s="728">
        <f>IF(MAX(B8,C8,D6,D7)&lt;15.5,1,0)</f>
        <v>0</v>
      </c>
      <c r="E9" s="6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  <c r="Z9" s="541"/>
    </row>
    <row r="10" spans="1:26" ht="13.5" thickBot="1">
      <c r="A10" s="814" t="str">
        <f>IF(AND(D9&lt;0.5,OR(B12&lt;5.5,B13&lt;5.5,C12&lt;5.5,C13&lt;5.5)),"WARNING: TEST NOT RECOMMENDED !!","    ")</f>
        <v>    </v>
      </c>
      <c r="B10" s="727"/>
      <c r="C10" s="727"/>
      <c r="D10" s="728"/>
      <c r="E10" s="28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723" t="s">
        <v>285</v>
      </c>
      <c r="B11" s="724" t="str">
        <f>B5</f>
        <v>female</v>
      </c>
      <c r="C11" s="725" t="str">
        <f>C5</f>
        <v>male</v>
      </c>
      <c r="D11" s="726" t="s">
        <v>92</v>
      </c>
      <c r="E11" s="28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597" t="str">
        <f>A6</f>
        <v>happy</v>
      </c>
      <c r="B12" s="598">
        <f>B8*D6/D8</f>
        <v>29</v>
      </c>
      <c r="C12" s="599">
        <f>C8*D6/D8</f>
        <v>116</v>
      </c>
      <c r="D12" s="619">
        <f>B12+C12</f>
        <v>145</v>
      </c>
      <c r="E12" s="28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597" t="str">
        <f>A7</f>
        <v>unhappy</v>
      </c>
      <c r="B13" s="598">
        <f>B8*D7/D8</f>
        <v>11</v>
      </c>
      <c r="C13" s="599">
        <f>C8*D7/D8</f>
        <v>44</v>
      </c>
      <c r="D13" s="619">
        <f>B13+C13</f>
        <v>55</v>
      </c>
      <c r="E13" s="28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thickBot="1">
      <c r="A14" s="729" t="s">
        <v>15</v>
      </c>
      <c r="B14" s="730">
        <f>B12+B13</f>
        <v>40</v>
      </c>
      <c r="C14" s="731">
        <f>C12+C13</f>
        <v>160</v>
      </c>
      <c r="D14" s="732">
        <f>D12+D13</f>
        <v>200</v>
      </c>
      <c r="E14" s="28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thickTop="1">
      <c r="A15" s="733"/>
      <c r="B15" s="734"/>
      <c r="C15" s="734"/>
      <c r="D15" s="735"/>
      <c r="E15" s="28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642" customFormat="1" ht="12.75">
      <c r="A16" s="645" t="s">
        <v>93</v>
      </c>
      <c r="B16" s="646"/>
      <c r="C16" s="647" t="s">
        <v>193</v>
      </c>
      <c r="D16" s="648">
        <f>ABS(B6-B12)</f>
        <v>4</v>
      </c>
      <c r="E16" s="641"/>
      <c r="F16" s="541"/>
      <c r="G16" s="541"/>
      <c r="H16" s="541"/>
      <c r="I16" s="541"/>
      <c r="J16" s="541"/>
      <c r="K16" s="541"/>
      <c r="L16" s="541"/>
      <c r="M16" s="541"/>
      <c r="N16" s="541"/>
      <c r="O16" s="541"/>
      <c r="P16" s="541"/>
      <c r="Q16" s="541"/>
      <c r="R16" s="541"/>
      <c r="S16" s="541"/>
      <c r="T16" s="541"/>
      <c r="U16" s="541"/>
      <c r="V16" s="541"/>
      <c r="W16" s="541"/>
      <c r="X16" s="541"/>
      <c r="Y16" s="541"/>
      <c r="Z16" s="541"/>
    </row>
    <row r="17" spans="1:26" s="642" customFormat="1" ht="12.75">
      <c r="A17" s="649"/>
      <c r="B17" s="650" t="s">
        <v>281</v>
      </c>
      <c r="C17" s="651"/>
      <c r="D17" s="620"/>
      <c r="E17" s="641"/>
      <c r="F17" s="541"/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1"/>
      <c r="R17" s="541"/>
      <c r="S17" s="541"/>
      <c r="T17" s="541"/>
      <c r="U17" s="541"/>
      <c r="V17" s="541"/>
      <c r="W17" s="541"/>
      <c r="X17" s="541"/>
      <c r="Y17" s="541"/>
      <c r="Z17" s="541"/>
    </row>
    <row r="18" spans="1:26" s="642" customFormat="1" ht="12.75">
      <c r="A18" s="652" t="s">
        <v>276</v>
      </c>
      <c r="B18" s="653">
        <f>A62*A62*D8/(B8*C8*D6*D7)</f>
        <v>1.9200626959247649</v>
      </c>
      <c r="C18" s="654" t="s">
        <v>277</v>
      </c>
      <c r="D18" s="655"/>
      <c r="E18" s="6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</row>
    <row r="19" spans="1:26" s="642" customFormat="1" ht="13.5" thickBot="1">
      <c r="A19" s="656" t="s">
        <v>282</v>
      </c>
      <c r="B19" s="657" t="str">
        <f>IF(C6&gt;C12,"SIGN:  +",IF(C6&lt;C12,"SIGN:  -","INDEPENDENT"))</f>
        <v>SIGN:  +</v>
      </c>
      <c r="C19" s="658"/>
      <c r="D19" s="620"/>
      <c r="E19" s="641"/>
      <c r="F19" s="541"/>
      <c r="G19" s="541"/>
      <c r="H19" s="541"/>
      <c r="I19" s="541"/>
      <c r="J19" s="541"/>
      <c r="K19" s="541"/>
      <c r="L19" s="541"/>
      <c r="M19" s="541"/>
      <c r="N19" s="541"/>
      <c r="O19" s="541"/>
      <c r="P19" s="541"/>
      <c r="Q19" s="541"/>
      <c r="R19" s="541"/>
      <c r="S19" s="541"/>
      <c r="T19" s="541"/>
      <c r="U19" s="541"/>
      <c r="V19" s="541"/>
      <c r="W19" s="541"/>
      <c r="X19" s="541"/>
      <c r="Y19" s="541"/>
      <c r="Z19" s="541"/>
    </row>
    <row r="20" spans="1:26" s="642" customFormat="1" ht="12.75">
      <c r="A20" s="656" t="s">
        <v>275</v>
      </c>
      <c r="B20" s="659">
        <f>IF(CHIDIST(B18,1)&lt;0.001," ",CHIDIST(B18,1))</f>
        <v>0.16584974894799662</v>
      </c>
      <c r="C20" s="654"/>
      <c r="D20" s="620"/>
      <c r="E20" s="641"/>
      <c r="F20" s="541"/>
      <c r="G20" s="541"/>
      <c r="H20" s="541"/>
      <c r="I20" s="541"/>
      <c r="J20" s="541"/>
      <c r="K20" s="541"/>
      <c r="L20" s="541"/>
      <c r="M20" s="541"/>
      <c r="N20" s="541"/>
      <c r="O20" s="541"/>
      <c r="P20" s="541"/>
      <c r="Q20" s="541"/>
      <c r="R20" s="541"/>
      <c r="S20" s="541"/>
      <c r="T20" s="541"/>
      <c r="U20" s="541"/>
      <c r="V20" s="541"/>
      <c r="W20" s="541"/>
      <c r="X20" s="541"/>
      <c r="Y20" s="541"/>
      <c r="Z20" s="541"/>
    </row>
    <row r="21" spans="1:26" s="642" customFormat="1" ht="13.5" thickBot="1">
      <c r="A21" s="656"/>
      <c r="B21" s="660">
        <f>IF(CHIDIST(B18,1)&lt;0.001,CHIDIST(B18,1),"")</f>
      </c>
      <c r="C21" s="654"/>
      <c r="D21" s="620"/>
      <c r="E21" s="641"/>
      <c r="F21" s="541"/>
      <c r="G21" s="541"/>
      <c r="H21" s="541"/>
      <c r="I21" s="541"/>
      <c r="J21" s="541"/>
      <c r="K21" s="541"/>
      <c r="L21" s="541"/>
      <c r="M21" s="541"/>
      <c r="N21" s="541"/>
      <c r="O21" s="541"/>
      <c r="P21" s="541"/>
      <c r="Q21" s="541"/>
      <c r="R21" s="541"/>
      <c r="S21" s="541"/>
      <c r="T21" s="541"/>
      <c r="U21" s="541"/>
      <c r="V21" s="541"/>
      <c r="W21" s="541"/>
      <c r="X21" s="541"/>
      <c r="Y21" s="541"/>
      <c r="Z21" s="541"/>
    </row>
    <row r="22" spans="1:26" s="642" customFormat="1" ht="13.5" thickBot="1">
      <c r="A22" s="661"/>
      <c r="B22" s="662"/>
      <c r="C22" s="663"/>
      <c r="D22" s="664"/>
      <c r="E22" s="665"/>
      <c r="F22" s="666"/>
      <c r="G22" s="541"/>
      <c r="H22" s="541"/>
      <c r="I22" s="541"/>
      <c r="J22" s="541"/>
      <c r="K22" s="541"/>
      <c r="L22" s="541"/>
      <c r="M22" s="541"/>
      <c r="N22" s="541"/>
      <c r="O22" s="541"/>
      <c r="P22" s="541"/>
      <c r="Q22" s="541"/>
      <c r="R22" s="541"/>
      <c r="S22" s="541"/>
      <c r="T22" s="541"/>
      <c r="U22" s="541"/>
      <c r="V22" s="541"/>
      <c r="W22" s="541"/>
      <c r="X22" s="541"/>
      <c r="Y22" s="541"/>
      <c r="Z22" s="541"/>
    </row>
    <row r="23" spans="1:26" s="642" customFormat="1" ht="12.75">
      <c r="A23" s="667" t="s">
        <v>182</v>
      </c>
      <c r="B23" s="668">
        <f>IF(C6*B7&gt;0,MAX((B6*C7)/(C6*B7),(B7*C6)/(B6*C7)),"  ")</f>
        <v>1.8</v>
      </c>
      <c r="C23" s="663" t="s">
        <v>291</v>
      </c>
      <c r="D23" s="664"/>
      <c r="E23" s="665"/>
      <c r="F23" s="666"/>
      <c r="G23" s="541"/>
      <c r="H23" s="541"/>
      <c r="I23" s="541"/>
      <c r="J23" s="541"/>
      <c r="K23" s="541"/>
      <c r="L23" s="541"/>
      <c r="M23" s="541"/>
      <c r="N23" s="541"/>
      <c r="O23" s="541"/>
      <c r="P23" s="541"/>
      <c r="Q23" s="541"/>
      <c r="R23" s="541"/>
      <c r="S23" s="541"/>
      <c r="T23" s="541"/>
      <c r="U23" s="541"/>
      <c r="V23" s="541"/>
      <c r="W23" s="541"/>
      <c r="X23" s="541"/>
      <c r="Y23" s="541"/>
      <c r="Z23" s="541"/>
    </row>
    <row r="24" spans="1:26" s="642" customFormat="1" ht="13.5" thickBot="1">
      <c r="A24" s="661" t="s">
        <v>183</v>
      </c>
      <c r="B24" s="669">
        <f>IF(B23&gt;0,1/B23,"  ")</f>
        <v>0.5555555555555556</v>
      </c>
      <c r="C24" s="663"/>
      <c r="D24" s="664"/>
      <c r="E24" s="665"/>
      <c r="F24" s="666"/>
      <c r="G24" s="541"/>
      <c r="H24" s="541"/>
      <c r="I24" s="541"/>
      <c r="J24" s="541"/>
      <c r="K24" s="541"/>
      <c r="L24" s="541"/>
      <c r="M24" s="541"/>
      <c r="N24" s="541"/>
      <c r="O24" s="541"/>
      <c r="P24" s="541"/>
      <c r="Q24" s="541"/>
      <c r="R24" s="541"/>
      <c r="S24" s="541"/>
      <c r="T24" s="541"/>
      <c r="U24" s="541"/>
      <c r="V24" s="541"/>
      <c r="W24" s="541"/>
      <c r="X24" s="541"/>
      <c r="Y24" s="541"/>
      <c r="Z24" s="541"/>
    </row>
    <row r="25" spans="1:26" s="642" customFormat="1" ht="12.75">
      <c r="A25" s="670"/>
      <c r="B25" s="651"/>
      <c r="C25" s="651"/>
      <c r="D25" s="620"/>
      <c r="E25" s="641"/>
      <c r="F25" s="541"/>
      <c r="G25" s="541"/>
      <c r="H25" s="541"/>
      <c r="I25" s="541"/>
      <c r="J25" s="541"/>
      <c r="K25" s="541"/>
      <c r="L25" s="541"/>
      <c r="M25" s="541"/>
      <c r="N25" s="541"/>
      <c r="O25" s="541"/>
      <c r="P25" s="541"/>
      <c r="Q25" s="541"/>
      <c r="R25" s="541"/>
      <c r="S25" s="541"/>
      <c r="T25" s="541"/>
      <c r="U25" s="541"/>
      <c r="V25" s="541"/>
      <c r="W25" s="541"/>
      <c r="X25" s="541"/>
      <c r="Y25" s="541"/>
      <c r="Z25" s="541"/>
    </row>
    <row r="26" spans="1:26" s="642" customFormat="1" ht="13.5" thickBot="1">
      <c r="A26" s="866" t="s">
        <v>292</v>
      </c>
      <c r="B26" s="867"/>
      <c r="C26" s="867"/>
      <c r="D26" s="620"/>
      <c r="E26" s="641"/>
      <c r="F26" s="541"/>
      <c r="G26" s="541"/>
      <c r="H26" s="541"/>
      <c r="I26" s="541"/>
      <c r="J26" s="541"/>
      <c r="K26" s="541"/>
      <c r="L26" s="541"/>
      <c r="M26" s="541"/>
      <c r="N26" s="541"/>
      <c r="O26" s="541"/>
      <c r="P26" s="541"/>
      <c r="Q26" s="541"/>
      <c r="R26" s="541"/>
      <c r="S26" s="541"/>
      <c r="T26" s="541"/>
      <c r="U26" s="541"/>
      <c r="V26" s="541"/>
      <c r="W26" s="541"/>
      <c r="X26" s="541"/>
      <c r="Y26" s="541"/>
      <c r="Z26" s="541"/>
    </row>
    <row r="27" spans="1:26" s="642" customFormat="1" ht="13.5" thickBot="1">
      <c r="A27" s="671" t="s">
        <v>270</v>
      </c>
      <c r="B27" s="672" t="s">
        <v>290</v>
      </c>
      <c r="C27" s="673" t="s">
        <v>271</v>
      </c>
      <c r="D27" s="550"/>
      <c r="E27" s="641"/>
      <c r="F27" s="541"/>
      <c r="G27" s="541"/>
      <c r="H27" s="541"/>
      <c r="I27" s="541"/>
      <c r="J27" s="541"/>
      <c r="K27" s="541"/>
      <c r="L27" s="541"/>
      <c r="M27" s="541"/>
      <c r="N27" s="541"/>
      <c r="O27" s="541"/>
      <c r="P27" s="541"/>
      <c r="Q27" s="541"/>
      <c r="R27" s="541"/>
      <c r="S27" s="541"/>
      <c r="T27" s="541"/>
      <c r="U27" s="541"/>
      <c r="V27" s="541"/>
      <c r="W27" s="541"/>
      <c r="X27" s="541"/>
      <c r="Y27" s="541"/>
      <c r="Z27" s="541"/>
    </row>
    <row r="28" spans="1:26" s="642" customFormat="1" ht="12.75">
      <c r="A28" s="674">
        <f>B28*(EXP(-1.96*$B$60))</f>
        <v>0.864522296566581</v>
      </c>
      <c r="B28" s="675">
        <f>B23</f>
        <v>1.8</v>
      </c>
      <c r="C28" s="676">
        <f>B28*(EXP(1.96*$B$60))</f>
        <v>3.7477344573616467</v>
      </c>
      <c r="D28" s="550" t="str">
        <f>IF(AND(A28&lt;1,C28&gt;1),"NS","")</f>
        <v>NS</v>
      </c>
      <c r="E28" s="641"/>
      <c r="F28" s="541"/>
      <c r="G28" s="541"/>
      <c r="H28" s="541"/>
      <c r="I28" s="541"/>
      <c r="J28" s="541"/>
      <c r="K28" s="541"/>
      <c r="L28" s="541"/>
      <c r="M28" s="541"/>
      <c r="N28" s="541"/>
      <c r="O28" s="541"/>
      <c r="P28" s="541"/>
      <c r="Q28" s="541"/>
      <c r="R28" s="541"/>
      <c r="S28" s="541"/>
      <c r="T28" s="541"/>
      <c r="U28" s="541"/>
      <c r="V28" s="541"/>
      <c r="W28" s="541"/>
      <c r="X28" s="541"/>
      <c r="Y28" s="541"/>
      <c r="Z28" s="541"/>
    </row>
    <row r="29" spans="1:26" s="642" customFormat="1" ht="13.5" thickBot="1">
      <c r="A29" s="677">
        <f>B29*(EXP(-1.96*$B$60))</f>
        <v>0.26682786931067315</v>
      </c>
      <c r="B29" s="678">
        <f>B24</f>
        <v>0.5555555555555556</v>
      </c>
      <c r="C29" s="679">
        <f>B29*(EXP(1.96*$B$60))</f>
        <v>1.1567081658523601</v>
      </c>
      <c r="D29" s="550" t="str">
        <f>IF(AND(A29&lt;1,C29&gt;1),"NS","")</f>
        <v>NS</v>
      </c>
      <c r="E29" s="641"/>
      <c r="F29" s="541"/>
      <c r="G29" s="541"/>
      <c r="H29" s="541"/>
      <c r="I29" s="541"/>
      <c r="J29" s="541"/>
      <c r="K29" s="541"/>
      <c r="L29" s="541"/>
      <c r="M29" s="541"/>
      <c r="N29" s="541"/>
      <c r="O29" s="541"/>
      <c r="P29" s="541"/>
      <c r="Q29" s="541"/>
      <c r="R29" s="541"/>
      <c r="S29" s="541"/>
      <c r="T29" s="541"/>
      <c r="U29" s="541"/>
      <c r="V29" s="541"/>
      <c r="W29" s="541"/>
      <c r="X29" s="541"/>
      <c r="Y29" s="541"/>
      <c r="Z29" s="541"/>
    </row>
    <row r="30" spans="1:26" s="642" customFormat="1" ht="13.5" thickBot="1">
      <c r="A30" s="680"/>
      <c r="B30" s="654"/>
      <c r="C30" s="654"/>
      <c r="D30" s="681"/>
      <c r="E30" s="641"/>
      <c r="F30" s="541"/>
      <c r="G30" s="541"/>
      <c r="H30" s="541"/>
      <c r="I30" s="541"/>
      <c r="J30" s="541"/>
      <c r="K30" s="541"/>
      <c r="L30" s="541"/>
      <c r="M30" s="541"/>
      <c r="N30" s="541"/>
      <c r="O30" s="541"/>
      <c r="P30" s="541"/>
      <c r="Q30" s="541"/>
      <c r="R30" s="541"/>
      <c r="S30" s="541"/>
      <c r="T30" s="541"/>
      <c r="U30" s="541"/>
      <c r="V30" s="541"/>
      <c r="W30" s="541"/>
      <c r="X30" s="541"/>
      <c r="Y30" s="541"/>
      <c r="Z30" s="541"/>
    </row>
    <row r="31" spans="1:26" s="642" customFormat="1" ht="14.25" thickBot="1">
      <c r="A31" s="656" t="s">
        <v>287</v>
      </c>
      <c r="B31" s="637">
        <f>IF(B61&lt;0.001," ",B61)</f>
        <v>0.11619985235054098</v>
      </c>
      <c r="C31" s="807" t="str">
        <f>IF(B61&lt;0.001,B61,"  ")</f>
        <v>  </v>
      </c>
      <c r="D31" s="681"/>
      <c r="E31" s="641"/>
      <c r="F31" s="541"/>
      <c r="G31" s="541"/>
      <c r="H31" s="541"/>
      <c r="I31" s="541"/>
      <c r="J31" s="541"/>
      <c r="K31" s="541"/>
      <c r="L31" s="541"/>
      <c r="M31" s="541"/>
      <c r="N31" s="541"/>
      <c r="O31" s="541"/>
      <c r="P31" s="541"/>
      <c r="Q31" s="541"/>
      <c r="R31" s="541"/>
      <c r="S31" s="541"/>
      <c r="T31" s="541"/>
      <c r="U31" s="541"/>
      <c r="V31" s="541"/>
      <c r="W31" s="541"/>
      <c r="X31" s="541"/>
      <c r="Y31" s="541"/>
      <c r="Z31" s="541"/>
    </row>
    <row r="32" spans="1:26" s="642" customFormat="1" ht="12.75">
      <c r="A32" s="656"/>
      <c r="C32" s="654"/>
      <c r="D32" s="681"/>
      <c r="E32" s="641"/>
      <c r="F32" s="541"/>
      <c r="G32" s="541"/>
      <c r="H32" s="541"/>
      <c r="I32" s="541"/>
      <c r="J32" s="541"/>
      <c r="K32" s="541"/>
      <c r="L32" s="541"/>
      <c r="M32" s="541"/>
      <c r="N32" s="541"/>
      <c r="O32" s="541"/>
      <c r="P32" s="541"/>
      <c r="Q32" s="541"/>
      <c r="R32" s="541"/>
      <c r="S32" s="541"/>
      <c r="T32" s="541"/>
      <c r="U32" s="541"/>
      <c r="V32" s="541"/>
      <c r="W32" s="541"/>
      <c r="X32" s="541"/>
      <c r="Y32" s="541"/>
      <c r="Z32" s="541"/>
    </row>
    <row r="33" spans="1:26" ht="13.5" thickBot="1">
      <c r="A33" s="595" t="s">
        <v>317</v>
      </c>
      <c r="B33" s="37"/>
      <c r="C33" s="37"/>
      <c r="D33" s="718"/>
      <c r="E33" s="28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thickBot="1">
      <c r="A34" s="588" t="s">
        <v>264</v>
      </c>
      <c r="B34" s="716" t="s">
        <v>262</v>
      </c>
      <c r="C34" s="717" t="s">
        <v>318</v>
      </c>
      <c r="D34" s="870" t="s">
        <v>286</v>
      </c>
      <c r="E34" s="28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6.25" customHeight="1" thickBot="1">
      <c r="A35" s="621" t="s">
        <v>265</v>
      </c>
      <c r="B35" s="622" t="str">
        <f>B5</f>
        <v>female</v>
      </c>
      <c r="C35" s="623" t="str">
        <f>C5</f>
        <v>male</v>
      </c>
      <c r="D35" s="871"/>
      <c r="E35" s="28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5" s="1" customFormat="1" ht="12.75">
      <c r="A36" s="682" t="str">
        <f>A6</f>
        <v>happy</v>
      </c>
      <c r="B36" s="683">
        <f>B6/B8</f>
        <v>0.625</v>
      </c>
      <c r="C36" s="684">
        <f>C6/C8</f>
        <v>0.75</v>
      </c>
      <c r="D36" s="685">
        <f>C36/B36</f>
        <v>1.2</v>
      </c>
      <c r="E36" s="641"/>
    </row>
    <row r="37" spans="1:5" s="1" customFormat="1" ht="13.5" thickBot="1">
      <c r="A37" s="686"/>
      <c r="B37" s="687"/>
      <c r="C37" s="688" t="s">
        <v>266</v>
      </c>
      <c r="D37" s="689">
        <f>B36/C36</f>
        <v>0.8333333333333334</v>
      </c>
      <c r="E37" s="641"/>
    </row>
    <row r="38" spans="1:5" s="1" customFormat="1" ht="13.5" thickBot="1">
      <c r="A38" s="682" t="str">
        <f>A7</f>
        <v>unhappy</v>
      </c>
      <c r="B38" s="690">
        <f>B7/B8</f>
        <v>0.375</v>
      </c>
      <c r="C38" s="691">
        <f>C7/C8</f>
        <v>0.25</v>
      </c>
      <c r="D38" s="692">
        <f>C38/B38</f>
        <v>0.6666666666666666</v>
      </c>
      <c r="E38" s="641"/>
    </row>
    <row r="39" spans="1:5" s="1" customFormat="1" ht="13.5" thickBot="1">
      <c r="A39" s="693"/>
      <c r="B39" s="694"/>
      <c r="C39" s="695" t="s">
        <v>266</v>
      </c>
      <c r="D39" s="696">
        <f>B38/C38</f>
        <v>1.5</v>
      </c>
      <c r="E39" s="641"/>
    </row>
    <row r="40" spans="1:5" s="1" customFormat="1" ht="12.75">
      <c r="A40" s="680"/>
      <c r="B40" s="654"/>
      <c r="C40" s="654"/>
      <c r="D40" s="620"/>
      <c r="E40" s="641"/>
    </row>
    <row r="41" spans="1:5" s="1" customFormat="1" ht="13.5" thickBot="1">
      <c r="A41" s="866" t="s">
        <v>293</v>
      </c>
      <c r="B41" s="867"/>
      <c r="C41" s="867"/>
      <c r="D41" s="620"/>
      <c r="E41" s="641"/>
    </row>
    <row r="42" spans="1:5" s="1" customFormat="1" ht="13.5" thickBot="1">
      <c r="A42" s="671" t="s">
        <v>270</v>
      </c>
      <c r="B42" s="672" t="s">
        <v>272</v>
      </c>
      <c r="C42" s="673" t="s">
        <v>271</v>
      </c>
      <c r="D42" s="550"/>
      <c r="E42" s="641"/>
    </row>
    <row r="43" spans="1:5" s="1" customFormat="1" ht="12.75">
      <c r="A43" s="674">
        <f>B43*(EXP(-1.96*$B$62))</f>
        <v>0.9288047202512053</v>
      </c>
      <c r="B43" s="675">
        <f>D36</f>
        <v>1.2</v>
      </c>
      <c r="C43" s="676">
        <f>B43*(EXP(1.96*$B$62))</f>
        <v>1.5503797177199272</v>
      </c>
      <c r="D43" s="550" t="str">
        <f>IF(AND(A43&lt;1,C43&gt;1),"NS","")</f>
        <v>NS</v>
      </c>
      <c r="E43" s="641"/>
    </row>
    <row r="44" spans="1:5" s="1" customFormat="1" ht="12.75">
      <c r="A44" s="697">
        <f>B44*(EXP(-1.96*$B$62))</f>
        <v>0.645003277952226</v>
      </c>
      <c r="B44" s="698">
        <f>D37</f>
        <v>0.8333333333333334</v>
      </c>
      <c r="C44" s="699">
        <f>B44*(EXP(1.96*$B$62))</f>
        <v>1.0766525817499495</v>
      </c>
      <c r="D44" s="550" t="str">
        <f>IF(AND(A44&lt;1,C44&gt;1),"NS","")</f>
        <v>NS</v>
      </c>
      <c r="E44" s="641"/>
    </row>
    <row r="45" spans="1:5" s="1" customFormat="1" ht="12.75">
      <c r="A45" s="700">
        <f>B45*(EXP(-1.96*$B$63))</f>
        <v>0.4117951642435733</v>
      </c>
      <c r="B45" s="701">
        <f>D38</f>
        <v>0.6666666666666666</v>
      </c>
      <c r="C45" s="702">
        <f>B45*(EXP(1.96*$B$63))</f>
        <v>1.07928524430549</v>
      </c>
      <c r="D45" s="550" t="str">
        <f>IF(AND(A45&lt;1,C45&gt;1),"NS","")</f>
        <v>NS</v>
      </c>
      <c r="E45" s="641"/>
    </row>
    <row r="46" spans="1:5" s="1" customFormat="1" ht="13.5" thickBot="1">
      <c r="A46" s="677">
        <f>B46*(EXP(-1.96*$B$63))</f>
        <v>0.9265391195480399</v>
      </c>
      <c r="B46" s="678">
        <f>D39</f>
        <v>1.5</v>
      </c>
      <c r="C46" s="679">
        <f>B46*(EXP(1.96*$B$63))</f>
        <v>2.4283917996873527</v>
      </c>
      <c r="D46" s="550" t="str">
        <f>IF(AND(A46&lt;1,C46&gt;1),"NS","")</f>
        <v>NS</v>
      </c>
      <c r="E46" s="641"/>
    </row>
    <row r="47" spans="1:5" s="1" customFormat="1" ht="13.5" thickBot="1">
      <c r="A47" s="680"/>
      <c r="B47" s="654"/>
      <c r="C47" s="703"/>
      <c r="D47" s="556"/>
      <c r="E47" s="704"/>
    </row>
    <row r="48" spans="1:5" s="1" customFormat="1" ht="14.25" thickBot="1">
      <c r="A48" s="680"/>
      <c r="B48" s="705" t="s">
        <v>272</v>
      </c>
      <c r="C48" s="706" t="s">
        <v>289</v>
      </c>
      <c r="D48" s="707"/>
      <c r="E48" s="704"/>
    </row>
    <row r="49" spans="1:5" s="1" customFormat="1" ht="12.75">
      <c r="A49" s="680"/>
      <c r="B49" s="708">
        <f>D36</f>
        <v>1.2</v>
      </c>
      <c r="C49" s="709">
        <f>IF(C60&lt;0.001," ",C60)</f>
        <v>0.16303762894840235</v>
      </c>
      <c r="D49" s="808" t="str">
        <f>IF(C60&lt;0.001,C60,"  ")</f>
        <v>  </v>
      </c>
      <c r="E49" s="704"/>
    </row>
    <row r="50" spans="1:5" s="1" customFormat="1" ht="12.75">
      <c r="A50" s="680"/>
      <c r="B50" s="710">
        <f>D37</f>
        <v>0.8333333333333334</v>
      </c>
      <c r="C50" s="711">
        <f>IF(C61&lt;0.001," ",C61)</f>
        <v>0.16303762894840235</v>
      </c>
      <c r="D50" s="809" t="str">
        <f>IF(C61&lt;0.001,C61,"  ")</f>
        <v>  </v>
      </c>
      <c r="E50" s="704"/>
    </row>
    <row r="51" spans="1:5" s="1" customFormat="1" ht="12.75">
      <c r="A51" s="680"/>
      <c r="B51" s="712">
        <f>D38</f>
        <v>0.6666666666666666</v>
      </c>
      <c r="C51" s="713">
        <f>IF(C62&lt;0.001," ",C62)</f>
        <v>0.09902752761813893</v>
      </c>
      <c r="D51" s="810" t="str">
        <f>IF(C62&lt;0.001,C62,"  ")</f>
        <v>  </v>
      </c>
      <c r="E51" s="704"/>
    </row>
    <row r="52" spans="1:5" s="1" customFormat="1" ht="13.5" thickBot="1">
      <c r="A52" s="680"/>
      <c r="B52" s="714">
        <f>D39</f>
        <v>1.5</v>
      </c>
      <c r="C52" s="715">
        <f>IF(C63&lt;0.001," ",C63)</f>
        <v>0.09902752761813893</v>
      </c>
      <c r="D52" s="811" t="str">
        <f>IF(C63&lt;0.001,C63,"  ")</f>
        <v>  </v>
      </c>
      <c r="E52" s="704"/>
    </row>
    <row r="53" spans="1:5" s="11" customFormat="1" ht="13.5" thickBot="1">
      <c r="A53" s="253" t="s">
        <v>288</v>
      </c>
      <c r="B53" s="74"/>
      <c r="C53" s="301"/>
      <c r="D53" s="624"/>
      <c r="E53" s="12"/>
    </row>
    <row r="54" spans="1:5" s="11" customFormat="1" ht="12.75">
      <c r="A54" s="625"/>
      <c r="B54" s="626"/>
      <c r="C54" s="627"/>
      <c r="D54" s="628"/>
      <c r="E54" s="12"/>
    </row>
    <row r="55" spans="1:5" s="11" customFormat="1" ht="12.75">
      <c r="A55" s="629"/>
      <c r="B55" s="630"/>
      <c r="C55" s="631"/>
      <c r="D55" s="632"/>
      <c r="E55" s="12"/>
    </row>
    <row r="56" spans="1:5" s="11" customFormat="1" ht="12.75">
      <c r="A56" s="629"/>
      <c r="B56" s="630"/>
      <c r="C56" s="631"/>
      <c r="D56" s="632"/>
      <c r="E56" s="12"/>
    </row>
    <row r="57" spans="1:5" s="11" customFormat="1" ht="12.75">
      <c r="A57" s="629"/>
      <c r="B57" s="630"/>
      <c r="C57" s="631"/>
      <c r="D57" s="632"/>
      <c r="E57" s="12"/>
    </row>
    <row r="58" spans="1:5" s="11" customFormat="1" ht="13.5" thickBot="1">
      <c r="A58" s="633"/>
      <c r="B58" s="634"/>
      <c r="C58" s="635"/>
      <c r="D58" s="636"/>
      <c r="E58" s="12"/>
    </row>
    <row r="59" spans="1:5" s="1" customFormat="1" ht="13.5" thickBot="1">
      <c r="A59" s="348" t="s">
        <v>280</v>
      </c>
      <c r="B59" s="484"/>
      <c r="C59" s="484"/>
      <c r="D59" s="594"/>
      <c r="E59" s="286"/>
    </row>
    <row r="60" spans="1:5" s="1" customFormat="1" ht="13.5" thickTop="1">
      <c r="A60" s="603" t="s">
        <v>279</v>
      </c>
      <c r="B60" s="604">
        <f>SQRT(1/B6+1/B7+1/C6+1/C7)</f>
        <v>0.3741657386773941</v>
      </c>
      <c r="C60" s="604">
        <f>2*(1-NORMSDIST((ABS(LN($B$43)))/$B$62))</f>
        <v>0.16303762894840235</v>
      </c>
      <c r="D60" s="607"/>
      <c r="E60" s="286"/>
    </row>
    <row r="61" spans="1:5" s="1" customFormat="1" ht="12.75">
      <c r="A61" s="609" t="s">
        <v>278</v>
      </c>
      <c r="B61" s="605">
        <f>2*(1-NORMSDIST((ABS(LN($B$23)))/$B$60))</f>
        <v>0.11619985235054098</v>
      </c>
      <c r="C61" s="605">
        <f>2*(1-NORMSDIST((ABS(LN($B$44)))/$B$62))</f>
        <v>0.16303762894840235</v>
      </c>
      <c r="D61" s="99"/>
      <c r="E61" s="286"/>
    </row>
    <row r="62" spans="1:26" ht="12.75">
      <c r="A62" s="610">
        <f>ABS(B6*C7-B7*C6)-D8/2</f>
        <v>700</v>
      </c>
      <c r="B62" s="605">
        <f>SQRT(B7/(B6*B8)+C7/(C6*C8))</f>
        <v>0.13070322617798436</v>
      </c>
      <c r="C62" s="605">
        <f>2*(1-NORMSDIST((ABS(LN($B$45)))/$B$63))</f>
        <v>0.09902752761813893</v>
      </c>
      <c r="D62" s="164"/>
      <c r="E62" s="28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thickBot="1">
      <c r="A63" s="596"/>
      <c r="B63" s="606">
        <f>SQRT(B6/(B7*B8)+C6/(C7*C8))</f>
        <v>0.24579802006254375</v>
      </c>
      <c r="C63" s="606">
        <f>2*(1-NORMSDIST((ABS(LN($B$46)))/$B$63))</f>
        <v>0.09902752761813893</v>
      </c>
      <c r="D63" s="60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thickTop="1">
      <c r="A64" s="1"/>
      <c r="B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5:26" ht="12.7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5:26" ht="12.7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5:26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5:26" ht="12.7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5:26" ht="12.7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5:26" ht="12.7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5:26" ht="12.7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5:26" ht="12.7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5:26" ht="12.75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5:26" ht="12.75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5:26" ht="12.7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5:26" ht="12.75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5:26" ht="12.7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5:26" ht="12.7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5:26" ht="12.7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5:26" ht="12.7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5:26" ht="12.7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5:26" ht="12.7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5:26" ht="12.7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5:26" ht="12.7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5:26" ht="12.7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5:26" ht="12.7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5:26" ht="12.7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5:26" ht="12.7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5:26" ht="12.7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5:26" ht="12.7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5:26" ht="12.7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5:26" ht="12.7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5:26" ht="12.7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5:26" ht="12.7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5:26" ht="12.75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5:26" ht="12.7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5:26" ht="12.75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5:26" ht="12.75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5:26" ht="12.75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5:26" ht="12.7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5:26" ht="12.7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5:26" ht="12.7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5:26" ht="12.7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5:26" ht="12.7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5:26" ht="12.7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5:26" ht="12.7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5:26" ht="12.7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5:26" ht="12.7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5:26" ht="12.7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5:26" ht="12.7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5:26" ht="12.7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5:26" ht="12.7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5:26" ht="12.7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5:26" ht="12.7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5:26" ht="12.7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5:26" ht="12.7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5:26" ht="12.7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5:26" ht="12.7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5:26" ht="12.7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5:26" ht="12.7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5:26" ht="12.7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5:26" ht="12.7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5:26" ht="12.7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5:26" ht="12.7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5:26" ht="12.7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5:26" ht="12.7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5:26" ht="12.7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5:26" ht="12.7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5:26" ht="12.7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5:26" ht="12.7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5:26" ht="12.7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5:26" ht="12.7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5:26" ht="12.7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5:26" ht="12.75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5:26" ht="12.75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5:26" ht="12.75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5:26" ht="12.75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5:26" ht="12.75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5:26" ht="12.75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5:26" ht="12.75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5:26" ht="12.75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5:26" ht="12.75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5:26" ht="12.75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5:26" ht="12.75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5:26" ht="12.75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5:26" ht="12.75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5:26" ht="12.75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5:26" ht="12.75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5:26" ht="12.75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5:26" ht="12.75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5:26" ht="12.75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5:26" ht="12.7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5:26" ht="12.75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5:26" ht="12.75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5:26" ht="12.75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5:26" ht="12.75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5:26" ht="12.75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5:26" ht="12.75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5:26" ht="12.75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5:26" ht="12.75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5:26" ht="12.75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5:26" ht="12.75"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5:26" ht="12.75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5:26" ht="12.75"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5:26" ht="12.75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5:26" ht="12.75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5:26" ht="12.75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5:26" ht="12.75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5:26" ht="12.75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5:26" ht="12.75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5:26" ht="12.75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5:26" ht="12.75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5:26" ht="12.75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5:26" ht="12.75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5:26" ht="12.75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5:26" ht="12.75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5:26" ht="12.75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5:26" ht="12.75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5:26" ht="12.75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5:26" ht="12.75"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5:26" ht="12.75"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5:26" ht="12.75"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5:26" ht="12.75"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5:26" ht="12.75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5:26" ht="12.75"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5:26" ht="12.75"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5:26" ht="12.75"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5:26" ht="12.75"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5:26" ht="12.75"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5:26" ht="12.75"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5:26" ht="12.75"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5:26" ht="12.75"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5:26" ht="12.75"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5:26" ht="12.75"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5:26" ht="12.75"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5:26" ht="12.75"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5:26" ht="12.75"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5:26" ht="12.75"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5:26" ht="12.75"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5:26" ht="12.75"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5:26" ht="12.75"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5:26" ht="12.75"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5:26" ht="12.75"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5:26" ht="12.75"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5:26" ht="12.75"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5:26" ht="12.75"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5:26" ht="12.75"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5:26" ht="12.75"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5:26" ht="12.75"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5:26" ht="12.75"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5:26" ht="12.75"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5:26" ht="12.75"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5:26" ht="12.75"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5:26" ht="12.75"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5:26" ht="12.75"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5:26" ht="12.75"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5:26" ht="12.75"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5:26" ht="12.75"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5:26" ht="12.75"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5:26" ht="12.75"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5:26" ht="12.75"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5:26" ht="12.75"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5:26" ht="12.75"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5:26" ht="12.75"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5:26" ht="12.75"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5:26" ht="12.75"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5:26" ht="12.75"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5:26" ht="12.75"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5:26" ht="12.75"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5:26" ht="12.75"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5:26" ht="12.75"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5:26" ht="12.75"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5:26" ht="12.75"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5:26" ht="12.75"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5:26" ht="12.75"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5:26" ht="12.75"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5:26" ht="12.75"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5:26" ht="12.75"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5:26" ht="12.75"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5:26" ht="12.75"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5:26" ht="12.75"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5:26" ht="12.75"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5:26" ht="12.75"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5:26" ht="12.75"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5:26" ht="12.75"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5:26" ht="12.75"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5:26" ht="12.75"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5:26" ht="12.75"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5:26" ht="12.75"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</sheetData>
  <sheetProtection password="C550" sheet="1" objects="1" scenarios="1"/>
  <mergeCells count="4">
    <mergeCell ref="A41:C41"/>
    <mergeCell ref="B2:C2"/>
    <mergeCell ref="A26:C26"/>
    <mergeCell ref="D34:D3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 association dichotomy</dc:title>
  <dc:subject>Statistics WDH</dc:subject>
  <dc:creator>W.M. Kalmijn</dc:creator>
  <cp:keywords/>
  <dc:description/>
  <cp:lastModifiedBy>kalmijn</cp:lastModifiedBy>
  <cp:lastPrinted>2007-08-17T08:32:41Z</cp:lastPrinted>
  <dcterms:created xsi:type="dcterms:W3CDTF">1998-04-04T15:59:32Z</dcterms:created>
  <dcterms:modified xsi:type="dcterms:W3CDTF">2012-05-25T08:28:50Z</dcterms:modified>
  <cp:category/>
  <cp:version/>
  <cp:contentType/>
  <cp:contentStatus/>
</cp:coreProperties>
</file>