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mpus.eur.nl\shared\groups\ESE-EHERO\GELUK\WDBHAP\HAP_DB\TMP\"/>
    </mc:Choice>
  </mc:AlternateContent>
  <xr:revisionPtr revIDLastSave="0" documentId="8_{30451325-1346-40D6-8978-293B53A93CA6}" xr6:coauthVersionLast="47" xr6:coauthVersionMax="47" xr10:uidLastSave="{00000000-0000-0000-0000-000000000000}"/>
  <bookViews>
    <workbookView xWindow="1152" yWindow="1152" windowWidth="23040" windowHeight="15600" tabRatio="650"/>
  </bookViews>
  <sheets>
    <sheet name="Input" sheetId="1" r:id="rId1"/>
    <sheet name="Intro" sheetId="9" r:id="rId2"/>
    <sheet name="Output WDH" sheetId="11" r:id="rId3"/>
    <sheet name="Frequencies" sheetId="10" r:id="rId4"/>
    <sheet name="Means" sheetId="4" r:id="rId5"/>
    <sheet name="MulComp" sheetId="5" r:id="rId6"/>
    <sheet name="Convert" sheetId="12" r:id="rId7"/>
  </sheets>
  <definedNames>
    <definedName name="_xlnm.Print_Area" localSheetId="0">Input!$A$1:$Q$63</definedName>
    <definedName name="_xlnm.Print_Area" localSheetId="4">Means!$A$80:$I$95</definedName>
    <definedName name="_xlnm.Print_Area" localSheetId="2">'Output WDH'!$A$1:$M$88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1" l="1"/>
  <c r="P47" i="1"/>
  <c r="P48" i="1"/>
  <c r="P46" i="1"/>
  <c r="E49" i="1"/>
  <c r="F49" i="1"/>
  <c r="G49" i="1"/>
  <c r="D49" i="1"/>
  <c r="E5" i="4"/>
  <c r="F10" i="1"/>
  <c r="C21" i="10"/>
  <c r="C22" i="10"/>
  <c r="C23" i="10"/>
  <c r="C24" i="10"/>
  <c r="C25" i="10"/>
  <c r="C10" i="10"/>
  <c r="C26" i="10"/>
  <c r="C11" i="10"/>
  <c r="C27" i="10"/>
  <c r="C12" i="10"/>
  <c r="C28" i="10"/>
  <c r="C13" i="10"/>
  <c r="C29" i="10"/>
  <c r="C14" i="10"/>
  <c r="C30" i="10"/>
  <c r="C15" i="10"/>
  <c r="C31" i="10"/>
  <c r="C16" i="10"/>
  <c r="C32" i="10"/>
  <c r="C33" i="10"/>
  <c r="E7" i="4"/>
  <c r="F41" i="4"/>
  <c r="E59" i="4"/>
  <c r="A8" i="10"/>
  <c r="A6" i="10"/>
  <c r="A32" i="10"/>
  <c r="A5" i="10"/>
  <c r="A31" i="10"/>
  <c r="A30" i="10"/>
  <c r="A29" i="10"/>
  <c r="A28" i="10"/>
  <c r="A27" i="10"/>
  <c r="A26" i="10"/>
  <c r="A25" i="10"/>
  <c r="A24" i="10"/>
  <c r="A23" i="10"/>
  <c r="A22" i="10"/>
  <c r="A21" i="10"/>
  <c r="C39" i="10"/>
  <c r="D41" i="4"/>
  <c r="H16" i="4"/>
  <c r="E17" i="4"/>
  <c r="E18" i="4"/>
  <c r="E20" i="4"/>
  <c r="H18" i="4"/>
  <c r="E21" i="4"/>
  <c r="C59" i="4"/>
  <c r="E48" i="4"/>
  <c r="C48" i="4"/>
  <c r="E49" i="4"/>
  <c r="C49" i="4"/>
  <c r="E50" i="4"/>
  <c r="C50" i="4"/>
  <c r="E51" i="4"/>
  <c r="C51" i="4"/>
  <c r="E52" i="4"/>
  <c r="C52" i="4"/>
  <c r="E53" i="4"/>
  <c r="C53" i="4"/>
  <c r="E54" i="4"/>
  <c r="C54" i="4"/>
  <c r="E55" i="4"/>
  <c r="C55" i="4"/>
  <c r="B23" i="12"/>
  <c r="A24" i="12"/>
  <c r="C28" i="12"/>
  <c r="C29" i="12"/>
  <c r="C30" i="12"/>
  <c r="C31" i="12"/>
  <c r="C32" i="12"/>
  <c r="C35" i="12"/>
  <c r="D36" i="12"/>
  <c r="B38" i="12"/>
  <c r="C34" i="10"/>
  <c r="C35" i="10"/>
  <c r="L12" i="5"/>
  <c r="B93" i="4"/>
  <c r="B92" i="4"/>
  <c r="B91" i="4"/>
  <c r="B90" i="4"/>
  <c r="B89" i="4"/>
  <c r="B88" i="4"/>
  <c r="B87" i="4"/>
  <c r="B86" i="4"/>
  <c r="B85" i="4"/>
  <c r="B84" i="4"/>
  <c r="B83" i="4"/>
  <c r="F42" i="5"/>
  <c r="E49" i="5"/>
  <c r="B23" i="5"/>
  <c r="E50" i="5"/>
  <c r="C23" i="5"/>
  <c r="E51" i="5"/>
  <c r="D23" i="5"/>
  <c r="E52" i="5"/>
  <c r="E23" i="5"/>
  <c r="E53" i="5"/>
  <c r="F23" i="5"/>
  <c r="E54" i="5"/>
  <c r="G23" i="5"/>
  <c r="E55" i="5"/>
  <c r="H23" i="5"/>
  <c r="E56" i="5"/>
  <c r="I23" i="5"/>
  <c r="J92" i="4"/>
  <c r="H48" i="4"/>
  <c r="C73" i="4"/>
  <c r="H49" i="4"/>
  <c r="D73" i="4"/>
  <c r="H50" i="4"/>
  <c r="E73" i="4"/>
  <c r="H51" i="4"/>
  <c r="F73" i="4"/>
  <c r="H52" i="4"/>
  <c r="G73" i="4"/>
  <c r="H53" i="4"/>
  <c r="H73" i="4"/>
  <c r="H54" i="4"/>
  <c r="I73" i="4"/>
  <c r="H55" i="4"/>
  <c r="J73" i="4"/>
  <c r="M63" i="4"/>
  <c r="L63" i="4"/>
  <c r="C74" i="4"/>
  <c r="D74" i="4"/>
  <c r="E74" i="4"/>
  <c r="F74" i="4"/>
  <c r="G74" i="4"/>
  <c r="H74" i="4"/>
  <c r="I74" i="4"/>
  <c r="J74" i="4"/>
  <c r="C75" i="4"/>
  <c r="D75" i="4"/>
  <c r="E75" i="4"/>
  <c r="F75" i="4"/>
  <c r="G75" i="4"/>
  <c r="H75" i="4"/>
  <c r="I75" i="4"/>
  <c r="J75" i="4"/>
  <c r="C5" i="10"/>
  <c r="C6" i="10"/>
  <c r="C7" i="10"/>
  <c r="C8" i="10"/>
  <c r="C9" i="10"/>
  <c r="C17" i="10"/>
  <c r="O5" i="10"/>
  <c r="O6" i="10"/>
  <c r="O7" i="10"/>
  <c r="O8" i="10"/>
  <c r="O9" i="10"/>
  <c r="O10" i="10"/>
  <c r="O11" i="10"/>
  <c r="O12" i="10"/>
  <c r="O13" i="10"/>
  <c r="B24" i="5"/>
  <c r="C24" i="5"/>
  <c r="D24" i="5"/>
  <c r="E24" i="5"/>
  <c r="F24" i="5"/>
  <c r="G24" i="5"/>
  <c r="H24" i="5"/>
  <c r="I24" i="5"/>
  <c r="C72" i="4"/>
  <c r="D72" i="4"/>
  <c r="E72" i="4"/>
  <c r="F72" i="4"/>
  <c r="G72" i="4"/>
  <c r="H72" i="4"/>
  <c r="I72" i="4"/>
  <c r="J72" i="4"/>
  <c r="K63" i="4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H49" i="5"/>
  <c r="H50" i="5"/>
  <c r="H51" i="5"/>
  <c r="H52" i="5"/>
  <c r="H53" i="5"/>
  <c r="H54" i="5"/>
  <c r="H55" i="5"/>
  <c r="H56" i="5"/>
  <c r="J91" i="4"/>
  <c r="C40" i="10"/>
  <c r="E41" i="4"/>
  <c r="D59" i="4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B30" i="5"/>
  <c r="C30" i="5"/>
  <c r="D30" i="5"/>
  <c r="E30" i="5"/>
  <c r="F30" i="5"/>
  <c r="G30" i="5"/>
  <c r="H30" i="5"/>
  <c r="I30" i="5"/>
  <c r="C56" i="5"/>
  <c r="N30" i="5"/>
  <c r="O30" i="5"/>
  <c r="B31" i="5"/>
  <c r="C31" i="5"/>
  <c r="D31" i="5"/>
  <c r="E31" i="5"/>
  <c r="F31" i="5"/>
  <c r="G31" i="5"/>
  <c r="H31" i="5"/>
  <c r="C55" i="5"/>
  <c r="N31" i="5"/>
  <c r="O31" i="5"/>
  <c r="B32" i="5"/>
  <c r="C32" i="5"/>
  <c r="D32" i="5"/>
  <c r="E32" i="5"/>
  <c r="F32" i="5"/>
  <c r="G32" i="5"/>
  <c r="C54" i="5"/>
  <c r="N32" i="5"/>
  <c r="O32" i="5"/>
  <c r="B33" i="5"/>
  <c r="C33" i="5"/>
  <c r="D33" i="5"/>
  <c r="E33" i="5"/>
  <c r="F33" i="5"/>
  <c r="C53" i="5"/>
  <c r="N33" i="5"/>
  <c r="O33" i="5"/>
  <c r="B34" i="5"/>
  <c r="C34" i="5"/>
  <c r="D34" i="5"/>
  <c r="E34" i="5"/>
  <c r="C52" i="5"/>
  <c r="N34" i="5"/>
  <c r="O34" i="5"/>
  <c r="B35" i="5"/>
  <c r="C35" i="5"/>
  <c r="D35" i="5"/>
  <c r="C51" i="5"/>
  <c r="N35" i="5"/>
  <c r="O35" i="5"/>
  <c r="B36" i="5"/>
  <c r="C36" i="5"/>
  <c r="C50" i="5"/>
  <c r="N36" i="5"/>
  <c r="O36" i="5"/>
  <c r="B37" i="5"/>
  <c r="C49" i="5"/>
  <c r="N37" i="5"/>
  <c r="O37" i="5"/>
  <c r="K41" i="5"/>
  <c r="K42" i="5"/>
  <c r="K43" i="5"/>
  <c r="B49" i="5"/>
  <c r="C83" i="4"/>
  <c r="D49" i="5"/>
  <c r="F49" i="5"/>
  <c r="G49" i="5"/>
  <c r="I49" i="5"/>
  <c r="J49" i="5"/>
  <c r="K49" i="5"/>
  <c r="B50" i="5"/>
  <c r="C84" i="4"/>
  <c r="D50" i="5"/>
  <c r="F50" i="5"/>
  <c r="G50" i="5"/>
  <c r="I50" i="5"/>
  <c r="J50" i="5"/>
  <c r="K50" i="5"/>
  <c r="B51" i="5"/>
  <c r="C85" i="4"/>
  <c r="D51" i="5"/>
  <c r="F51" i="5"/>
  <c r="G51" i="5"/>
  <c r="I51" i="5"/>
  <c r="J51" i="5"/>
  <c r="K51" i="5"/>
  <c r="B52" i="5"/>
  <c r="C86" i="4"/>
  <c r="D52" i="5"/>
  <c r="F52" i="5"/>
  <c r="G52" i="5"/>
  <c r="I52" i="5"/>
  <c r="J52" i="5"/>
  <c r="K52" i="5"/>
  <c r="B53" i="5"/>
  <c r="C87" i="4"/>
  <c r="D53" i="5"/>
  <c r="F53" i="5"/>
  <c r="G53" i="5"/>
  <c r="I53" i="5"/>
  <c r="J53" i="5"/>
  <c r="K53" i="5"/>
  <c r="B54" i="5"/>
  <c r="C88" i="4"/>
  <c r="D54" i="5"/>
  <c r="F54" i="5"/>
  <c r="G54" i="5"/>
  <c r="I54" i="5"/>
  <c r="J54" i="5"/>
  <c r="K54" i="5"/>
  <c r="B55" i="5"/>
  <c r="C89" i="4"/>
  <c r="D55" i="5"/>
  <c r="F55" i="5"/>
  <c r="G55" i="5"/>
  <c r="I55" i="5"/>
  <c r="J55" i="5"/>
  <c r="K55" i="5"/>
  <c r="B56" i="5"/>
  <c r="C90" i="4"/>
  <c r="D56" i="5"/>
  <c r="F56" i="5"/>
  <c r="G56" i="5"/>
  <c r="I56" i="5"/>
  <c r="J56" i="5"/>
  <c r="K56" i="5"/>
  <c r="B57" i="5"/>
  <c r="K57" i="5"/>
  <c r="B58" i="5"/>
  <c r="K58" i="5"/>
  <c r="B59" i="5"/>
  <c r="J93" i="4"/>
  <c r="K59" i="5"/>
  <c r="B60" i="5"/>
  <c r="J94" i="4"/>
  <c r="K60" i="5"/>
  <c r="B64" i="5"/>
  <c r="C64" i="5"/>
  <c r="D64" i="5"/>
  <c r="E64" i="5"/>
  <c r="F64" i="5"/>
  <c r="G64" i="5"/>
  <c r="H64" i="5"/>
  <c r="I64" i="5"/>
  <c r="B65" i="5"/>
  <c r="C65" i="5"/>
  <c r="D65" i="5"/>
  <c r="E65" i="5"/>
  <c r="F65" i="5"/>
  <c r="G65" i="5"/>
  <c r="H65" i="5"/>
  <c r="I65" i="5"/>
  <c r="B66" i="5"/>
  <c r="C66" i="5"/>
  <c r="D66" i="5"/>
  <c r="E66" i="5"/>
  <c r="F66" i="5"/>
  <c r="G66" i="5"/>
  <c r="H66" i="5"/>
  <c r="I66" i="5"/>
  <c r="B67" i="5"/>
  <c r="C67" i="5"/>
  <c r="D67" i="5"/>
  <c r="E67" i="5"/>
  <c r="F67" i="5"/>
  <c r="G67" i="5"/>
  <c r="H67" i="5"/>
  <c r="I67" i="5"/>
  <c r="B68" i="5"/>
  <c r="C68" i="5"/>
  <c r="D68" i="5"/>
  <c r="E68" i="5"/>
  <c r="F68" i="5"/>
  <c r="G68" i="5"/>
  <c r="H68" i="5"/>
  <c r="I68" i="5"/>
  <c r="B69" i="5"/>
  <c r="C69" i="5"/>
  <c r="D69" i="5"/>
  <c r="E69" i="5"/>
  <c r="F69" i="5"/>
  <c r="G69" i="5"/>
  <c r="H69" i="5"/>
  <c r="M69" i="5"/>
  <c r="B70" i="5"/>
  <c r="C70" i="5"/>
  <c r="D70" i="5"/>
  <c r="E70" i="5"/>
  <c r="F70" i="5"/>
  <c r="G70" i="5"/>
  <c r="M70" i="5"/>
  <c r="B71" i="5"/>
  <c r="C71" i="5"/>
  <c r="D71" i="5"/>
  <c r="E71" i="5"/>
  <c r="F71" i="5"/>
  <c r="M71" i="5"/>
  <c r="B72" i="5"/>
  <c r="C72" i="5"/>
  <c r="D72" i="5"/>
  <c r="E72" i="5"/>
  <c r="M72" i="5"/>
  <c r="B73" i="5"/>
  <c r="C73" i="5"/>
  <c r="D73" i="5"/>
  <c r="M73" i="5"/>
  <c r="B74" i="5"/>
  <c r="C74" i="5"/>
  <c r="M74" i="5"/>
  <c r="B75" i="5"/>
  <c r="M75" i="5"/>
  <c r="E4" i="4"/>
  <c r="E6" i="4"/>
  <c r="H17" i="4"/>
  <c r="B22" i="4"/>
  <c r="B23" i="4"/>
  <c r="F30" i="4"/>
  <c r="D30" i="4"/>
  <c r="E30" i="4"/>
  <c r="G30" i="4"/>
  <c r="H30" i="4"/>
  <c r="F31" i="4"/>
  <c r="D31" i="4"/>
  <c r="E31" i="4"/>
  <c r="G31" i="4"/>
  <c r="H31" i="4"/>
  <c r="F32" i="4"/>
  <c r="D32" i="4"/>
  <c r="E32" i="4"/>
  <c r="G32" i="4"/>
  <c r="H32" i="4"/>
  <c r="F33" i="4"/>
  <c r="D33" i="4"/>
  <c r="E33" i="4"/>
  <c r="G33" i="4"/>
  <c r="H33" i="4"/>
  <c r="F34" i="4"/>
  <c r="D34" i="4"/>
  <c r="E34" i="4"/>
  <c r="G34" i="4"/>
  <c r="H34" i="4"/>
  <c r="F35" i="4"/>
  <c r="D35" i="4"/>
  <c r="E35" i="4"/>
  <c r="G35" i="4"/>
  <c r="H35" i="4"/>
  <c r="F36" i="4"/>
  <c r="D36" i="4"/>
  <c r="E36" i="4"/>
  <c r="G36" i="4"/>
  <c r="H36" i="4"/>
  <c r="F37" i="4"/>
  <c r="D37" i="4"/>
  <c r="E37" i="4"/>
  <c r="G37" i="4"/>
  <c r="H37" i="4"/>
  <c r="G41" i="4"/>
  <c r="H41" i="4"/>
  <c r="D48" i="4"/>
  <c r="F48" i="4"/>
  <c r="G48" i="4"/>
  <c r="D49" i="4"/>
  <c r="F49" i="4"/>
  <c r="G49" i="4"/>
  <c r="D50" i="4"/>
  <c r="F50" i="4"/>
  <c r="G50" i="4"/>
  <c r="D51" i="4"/>
  <c r="F51" i="4"/>
  <c r="G51" i="4"/>
  <c r="D52" i="4"/>
  <c r="F52" i="4"/>
  <c r="G52" i="4"/>
  <c r="D53" i="4"/>
  <c r="F53" i="4"/>
  <c r="G53" i="4"/>
  <c r="D54" i="4"/>
  <c r="F54" i="4"/>
  <c r="G54" i="4"/>
  <c r="D55" i="4"/>
  <c r="F55" i="4"/>
  <c r="G55" i="4"/>
  <c r="F59" i="4"/>
  <c r="G59" i="4"/>
  <c r="C63" i="4"/>
  <c r="D63" i="4"/>
  <c r="E63" i="4"/>
  <c r="F63" i="4"/>
  <c r="G63" i="4"/>
  <c r="H63" i="4"/>
  <c r="I63" i="4"/>
  <c r="J63" i="4"/>
  <c r="C64" i="4"/>
  <c r="D64" i="4"/>
  <c r="E64" i="4"/>
  <c r="F64" i="4"/>
  <c r="G64" i="4"/>
  <c r="H64" i="4"/>
  <c r="I64" i="4"/>
  <c r="J64" i="4"/>
  <c r="C65" i="4"/>
  <c r="D65" i="4"/>
  <c r="E65" i="4"/>
  <c r="F65" i="4"/>
  <c r="G65" i="4"/>
  <c r="H65" i="4"/>
  <c r="I65" i="4"/>
  <c r="J65" i="4"/>
  <c r="C66" i="4"/>
  <c r="D66" i="4"/>
  <c r="E66" i="4"/>
  <c r="F66" i="4"/>
  <c r="G66" i="4"/>
  <c r="H66" i="4"/>
  <c r="I66" i="4"/>
  <c r="J66" i="4"/>
  <c r="C67" i="4"/>
  <c r="D67" i="4"/>
  <c r="E67" i="4"/>
  <c r="F67" i="4"/>
  <c r="G67" i="4"/>
  <c r="H67" i="4"/>
  <c r="I67" i="4"/>
  <c r="J67" i="4"/>
  <c r="C68" i="4"/>
  <c r="D68" i="4"/>
  <c r="E68" i="4"/>
  <c r="F68" i="4"/>
  <c r="G68" i="4"/>
  <c r="H68" i="4"/>
  <c r="I68" i="4"/>
  <c r="J68" i="4"/>
  <c r="C69" i="4"/>
  <c r="D69" i="4"/>
  <c r="E69" i="4"/>
  <c r="F69" i="4"/>
  <c r="G69" i="4"/>
  <c r="H69" i="4"/>
  <c r="I69" i="4"/>
  <c r="J69" i="4"/>
  <c r="C70" i="4"/>
  <c r="D70" i="4"/>
  <c r="E70" i="4"/>
  <c r="F70" i="4"/>
  <c r="G70" i="4"/>
  <c r="H70" i="4"/>
  <c r="I70" i="4"/>
  <c r="J70" i="4"/>
  <c r="C71" i="4"/>
  <c r="D71" i="4"/>
  <c r="E71" i="4"/>
  <c r="F71" i="4"/>
  <c r="G71" i="4"/>
  <c r="H71" i="4"/>
  <c r="I71" i="4"/>
  <c r="J71" i="4"/>
  <c r="A83" i="4"/>
  <c r="J84" i="4"/>
  <c r="G84" i="4"/>
  <c r="E83" i="4"/>
  <c r="F83" i="4"/>
  <c r="J83" i="4"/>
  <c r="G83" i="4"/>
  <c r="H83" i="4"/>
  <c r="I83" i="4"/>
  <c r="K83" i="4"/>
  <c r="L83" i="4"/>
  <c r="N83" i="4"/>
  <c r="A84" i="4"/>
  <c r="J85" i="4"/>
  <c r="G85" i="4"/>
  <c r="E84" i="4"/>
  <c r="F84" i="4"/>
  <c r="H84" i="4"/>
  <c r="I84" i="4"/>
  <c r="K84" i="4"/>
  <c r="L84" i="4"/>
  <c r="N84" i="4"/>
  <c r="A85" i="4"/>
  <c r="J86" i="4"/>
  <c r="G86" i="4"/>
  <c r="E85" i="4"/>
  <c r="F85" i="4"/>
  <c r="H85" i="4"/>
  <c r="I85" i="4"/>
  <c r="K85" i="4"/>
  <c r="L85" i="4"/>
  <c r="N85" i="4"/>
  <c r="A86" i="4"/>
  <c r="J87" i="4"/>
  <c r="G87" i="4"/>
  <c r="E86" i="4"/>
  <c r="F86" i="4"/>
  <c r="H86" i="4"/>
  <c r="I86" i="4"/>
  <c r="K86" i="4"/>
  <c r="L86" i="4"/>
  <c r="N86" i="4"/>
  <c r="A87" i="4"/>
  <c r="J88" i="4"/>
  <c r="G88" i="4"/>
  <c r="E87" i="4"/>
  <c r="F87" i="4"/>
  <c r="H87" i="4"/>
  <c r="I87" i="4"/>
  <c r="K87" i="4"/>
  <c r="L87" i="4"/>
  <c r="N87" i="4"/>
  <c r="A88" i="4"/>
  <c r="J89" i="4"/>
  <c r="G89" i="4"/>
  <c r="E88" i="4"/>
  <c r="F88" i="4"/>
  <c r="H88" i="4"/>
  <c r="I88" i="4"/>
  <c r="K88" i="4"/>
  <c r="L88" i="4"/>
  <c r="N88" i="4"/>
  <c r="A89" i="4"/>
  <c r="J90" i="4"/>
  <c r="G90" i="4"/>
  <c r="E89" i="4"/>
  <c r="F89" i="4"/>
  <c r="H89" i="4"/>
  <c r="I89" i="4"/>
  <c r="K89" i="4"/>
  <c r="L89" i="4"/>
  <c r="N89" i="4"/>
  <c r="A90" i="4"/>
  <c r="E90" i="4"/>
  <c r="F90" i="4"/>
  <c r="H90" i="4"/>
  <c r="I90" i="4"/>
  <c r="K90" i="4"/>
  <c r="L90" i="4"/>
  <c r="N90" i="4"/>
  <c r="G3" i="10"/>
  <c r="D4" i="10"/>
  <c r="E4" i="10"/>
  <c r="F4" i="10"/>
  <c r="G4" i="10"/>
  <c r="H4" i="10"/>
  <c r="I4" i="10"/>
  <c r="J4" i="10"/>
  <c r="K4" i="10"/>
  <c r="L4" i="10"/>
  <c r="M4" i="10"/>
  <c r="N4" i="10"/>
  <c r="G5" i="10"/>
  <c r="H5" i="10"/>
  <c r="I5" i="10"/>
  <c r="J5" i="10"/>
  <c r="K5" i="10"/>
  <c r="L5" i="10"/>
  <c r="M5" i="10"/>
  <c r="N5" i="10"/>
  <c r="G6" i="10"/>
  <c r="H6" i="10"/>
  <c r="I6" i="10"/>
  <c r="J6" i="10"/>
  <c r="K6" i="10"/>
  <c r="L6" i="10"/>
  <c r="M6" i="10"/>
  <c r="N6" i="10"/>
  <c r="G7" i="10"/>
  <c r="H7" i="10"/>
  <c r="I7" i="10"/>
  <c r="J7" i="10"/>
  <c r="K7" i="10"/>
  <c r="L7" i="10"/>
  <c r="M7" i="10"/>
  <c r="N7" i="10"/>
  <c r="G8" i="10"/>
  <c r="H8" i="10"/>
  <c r="I8" i="10"/>
  <c r="J8" i="10"/>
  <c r="K8" i="10"/>
  <c r="L8" i="10"/>
  <c r="M8" i="10"/>
  <c r="N8" i="10"/>
  <c r="G9" i="10"/>
  <c r="H9" i="10"/>
  <c r="I9" i="10"/>
  <c r="J9" i="10"/>
  <c r="K9" i="10"/>
  <c r="L9" i="10"/>
  <c r="M9" i="10"/>
  <c r="N9" i="10"/>
  <c r="G10" i="10"/>
  <c r="H10" i="10"/>
  <c r="I10" i="10"/>
  <c r="J10" i="10"/>
  <c r="K10" i="10"/>
  <c r="L10" i="10"/>
  <c r="M10" i="10"/>
  <c r="N10" i="10"/>
  <c r="G11" i="10"/>
  <c r="H11" i="10"/>
  <c r="I11" i="10"/>
  <c r="J11" i="10"/>
  <c r="K11" i="10"/>
  <c r="L11" i="10"/>
  <c r="M11" i="10"/>
  <c r="N11" i="10"/>
  <c r="D20" i="10"/>
  <c r="E20" i="10"/>
  <c r="F20" i="10"/>
  <c r="G20" i="10"/>
  <c r="H20" i="10"/>
  <c r="I20" i="10"/>
  <c r="J20" i="10"/>
  <c r="K20" i="10"/>
  <c r="L20" i="10"/>
  <c r="M20" i="10"/>
  <c r="N20" i="10"/>
  <c r="D38" i="10"/>
  <c r="E38" i="10"/>
  <c r="F38" i="10"/>
  <c r="G38" i="10"/>
  <c r="H38" i="10"/>
  <c r="I38" i="10"/>
  <c r="J38" i="10"/>
  <c r="K38" i="10"/>
  <c r="L38" i="10"/>
  <c r="M38" i="10"/>
  <c r="N38" i="10"/>
  <c r="O48" i="10"/>
  <c r="O49" i="10"/>
  <c r="O50" i="10"/>
  <c r="C53" i="10"/>
  <c r="C55" i="10"/>
  <c r="C54" i="10"/>
  <c r="D55" i="10"/>
  <c r="D54" i="10"/>
  <c r="E55" i="10"/>
  <c r="E54" i="10"/>
  <c r="F54" i="10"/>
  <c r="G54" i="10"/>
  <c r="H54" i="10"/>
  <c r="I54" i="10"/>
  <c r="J54" i="10"/>
  <c r="K54" i="10"/>
  <c r="L54" i="10"/>
  <c r="M54" i="10"/>
  <c r="N54" i="10"/>
  <c r="O54" i="10"/>
  <c r="F55" i="10"/>
  <c r="G55" i="10"/>
  <c r="H55" i="10"/>
  <c r="I55" i="10"/>
  <c r="J55" i="10"/>
  <c r="K55" i="10"/>
  <c r="L55" i="10"/>
  <c r="M55" i="10"/>
  <c r="N55" i="10"/>
  <c r="P58" i="1"/>
  <c r="O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9" i="1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D3" i="11"/>
  <c r="B16" i="11"/>
  <c r="C16" i="11"/>
  <c r="D16" i="11"/>
  <c r="E16" i="11"/>
  <c r="F16" i="11"/>
  <c r="G16" i="11"/>
  <c r="H16" i="11"/>
  <c r="B17" i="11"/>
  <c r="C17" i="11"/>
  <c r="D17" i="11"/>
  <c r="E17" i="11"/>
  <c r="F17" i="11"/>
  <c r="G17" i="11"/>
  <c r="H17" i="11"/>
  <c r="B18" i="11"/>
  <c r="C18" i="11"/>
  <c r="D18" i="11"/>
  <c r="E18" i="11"/>
  <c r="F18" i="11"/>
  <c r="G18" i="11"/>
  <c r="H18" i="11"/>
  <c r="B19" i="11"/>
  <c r="C19" i="11"/>
  <c r="D19" i="11"/>
  <c r="E19" i="11"/>
  <c r="F19" i="11"/>
  <c r="G19" i="11"/>
  <c r="H19" i="11"/>
  <c r="B20" i="11"/>
  <c r="C20" i="11"/>
  <c r="D20" i="11"/>
  <c r="E20" i="11"/>
  <c r="F20" i="11"/>
  <c r="G20" i="11"/>
  <c r="H20" i="11"/>
  <c r="B21" i="11"/>
  <c r="C21" i="11"/>
  <c r="D21" i="11"/>
  <c r="E21" i="11"/>
  <c r="F21" i="11"/>
  <c r="G21" i="11"/>
  <c r="H21" i="11"/>
  <c r="B22" i="11"/>
  <c r="C22" i="11"/>
  <c r="D22" i="11"/>
  <c r="E22" i="11"/>
  <c r="F22" i="11"/>
  <c r="G22" i="11"/>
  <c r="H22" i="11"/>
  <c r="B23" i="11"/>
  <c r="C23" i="11"/>
  <c r="D23" i="11"/>
  <c r="E23" i="11"/>
  <c r="F23" i="11"/>
  <c r="G23" i="11"/>
  <c r="H23" i="11"/>
  <c r="B24" i="11"/>
  <c r="C24" i="11"/>
  <c r="B25" i="11"/>
  <c r="C25" i="11"/>
  <c r="D27" i="11"/>
  <c r="E27" i="11"/>
  <c r="F27" i="11"/>
  <c r="G27" i="11"/>
  <c r="H27" i="11"/>
  <c r="B31" i="11"/>
  <c r="B32" i="11"/>
  <c r="B35" i="11"/>
  <c r="C35" i="11"/>
  <c r="D35" i="11"/>
  <c r="E35" i="11"/>
  <c r="F35" i="11"/>
  <c r="G35" i="11"/>
  <c r="H35" i="11"/>
  <c r="B36" i="11"/>
  <c r="C36" i="11"/>
  <c r="D36" i="11"/>
  <c r="E36" i="11"/>
  <c r="F36" i="11"/>
  <c r="G36" i="11"/>
  <c r="H36" i="11"/>
  <c r="B37" i="11"/>
  <c r="C37" i="11"/>
  <c r="D37" i="11"/>
  <c r="E37" i="11"/>
  <c r="F37" i="11"/>
  <c r="G37" i="11"/>
  <c r="H37" i="11"/>
  <c r="B38" i="11"/>
  <c r="C38" i="11"/>
  <c r="D38" i="11"/>
  <c r="E38" i="11"/>
  <c r="F38" i="11"/>
  <c r="G38" i="11"/>
  <c r="H38" i="11"/>
  <c r="B39" i="11"/>
  <c r="C39" i="11"/>
  <c r="D39" i="11"/>
  <c r="E39" i="11"/>
  <c r="F39" i="11"/>
  <c r="G39" i="11"/>
  <c r="H39" i="11"/>
  <c r="B40" i="11"/>
  <c r="C40" i="11"/>
  <c r="D40" i="11"/>
  <c r="E40" i="11"/>
  <c r="F40" i="11"/>
  <c r="G40" i="11"/>
  <c r="H40" i="11"/>
  <c r="B41" i="11"/>
  <c r="C41" i="11"/>
  <c r="D41" i="11"/>
  <c r="E41" i="11"/>
  <c r="F41" i="11"/>
  <c r="G41" i="11"/>
  <c r="H41" i="11"/>
  <c r="B42" i="11"/>
  <c r="C42" i="11"/>
  <c r="D42" i="11"/>
  <c r="E42" i="11"/>
  <c r="F42" i="11"/>
  <c r="G42" i="11"/>
  <c r="H42" i="11"/>
  <c r="B43" i="11"/>
  <c r="C43" i="11"/>
  <c r="B44" i="11"/>
  <c r="C44" i="11"/>
  <c r="D46" i="11"/>
  <c r="E46" i="11"/>
  <c r="F46" i="11"/>
  <c r="G46" i="11"/>
  <c r="H46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B69" i="11"/>
  <c r="C69" i="11"/>
  <c r="D69" i="11"/>
  <c r="E69" i="11"/>
  <c r="F69" i="11"/>
  <c r="G69" i="11"/>
  <c r="H69" i="11"/>
  <c r="I69" i="11"/>
  <c r="N69" i="11"/>
  <c r="B70" i="11"/>
  <c r="C70" i="11"/>
  <c r="D70" i="11"/>
  <c r="E70" i="11"/>
  <c r="F70" i="11"/>
  <c r="G70" i="11"/>
  <c r="H70" i="11"/>
  <c r="I70" i="11"/>
  <c r="N70" i="11"/>
  <c r="B71" i="11"/>
  <c r="C71" i="11"/>
  <c r="D71" i="11"/>
  <c r="E71" i="11"/>
  <c r="F71" i="11"/>
  <c r="G71" i="11"/>
  <c r="H71" i="11"/>
  <c r="I71" i="11"/>
  <c r="A72" i="11"/>
  <c r="B72" i="11"/>
  <c r="C72" i="11"/>
  <c r="D72" i="11"/>
  <c r="E72" i="11"/>
  <c r="F72" i="11"/>
  <c r="G72" i="11"/>
  <c r="H72" i="11"/>
  <c r="I72" i="11"/>
  <c r="A73" i="11"/>
  <c r="B73" i="11"/>
  <c r="C73" i="11"/>
  <c r="D73" i="11"/>
  <c r="E73" i="11"/>
  <c r="F73" i="11"/>
  <c r="G73" i="11"/>
  <c r="H73" i="11"/>
  <c r="I73" i="11"/>
  <c r="A74" i="11"/>
  <c r="B74" i="11"/>
  <c r="C74" i="11"/>
  <c r="D74" i="11"/>
  <c r="E74" i="11"/>
  <c r="F74" i="11"/>
  <c r="G74" i="11"/>
  <c r="H74" i="11"/>
  <c r="I74" i="11"/>
  <c r="A75" i="11"/>
  <c r="B75" i="11"/>
  <c r="C75" i="11"/>
  <c r="D75" i="11"/>
  <c r="E75" i="11"/>
  <c r="F75" i="11"/>
  <c r="G75" i="11"/>
  <c r="H75" i="11"/>
  <c r="I75" i="11"/>
  <c r="A76" i="11"/>
  <c r="B76" i="11"/>
  <c r="C76" i="11"/>
  <c r="D76" i="11"/>
  <c r="E76" i="11"/>
  <c r="F76" i="11"/>
  <c r="G76" i="11"/>
  <c r="H76" i="11"/>
  <c r="I76" i="11"/>
  <c r="N76" i="11"/>
  <c r="O76" i="11"/>
  <c r="A77" i="11"/>
  <c r="B77" i="11"/>
  <c r="C77" i="11"/>
  <c r="D77" i="11"/>
  <c r="E77" i="11"/>
  <c r="F77" i="11"/>
  <c r="G77" i="11"/>
  <c r="H77" i="11"/>
  <c r="N77" i="11"/>
  <c r="O77" i="11"/>
  <c r="A78" i="11"/>
  <c r="B78" i="11"/>
  <c r="C78" i="11"/>
  <c r="D78" i="11"/>
  <c r="E78" i="11"/>
  <c r="F78" i="11"/>
  <c r="G78" i="11"/>
  <c r="N78" i="11"/>
  <c r="O78" i="11"/>
  <c r="A79" i="11"/>
  <c r="B79" i="11"/>
  <c r="C79" i="11"/>
  <c r="D79" i="11"/>
  <c r="E79" i="11"/>
  <c r="F79" i="11"/>
  <c r="N79" i="11"/>
  <c r="O79" i="11"/>
  <c r="A80" i="11"/>
  <c r="B80" i="11"/>
  <c r="C80" i="11"/>
  <c r="D80" i="11"/>
  <c r="E80" i="11"/>
  <c r="N80" i="11"/>
  <c r="O80" i="11"/>
  <c r="A81" i="11"/>
  <c r="B81" i="11"/>
  <c r="C81" i="11"/>
  <c r="D81" i="11"/>
  <c r="N81" i="11"/>
  <c r="O81" i="11"/>
  <c r="A82" i="11"/>
  <c r="B82" i="11"/>
  <c r="C82" i="11"/>
  <c r="N82" i="11"/>
  <c r="O82" i="11"/>
  <c r="A83" i="11"/>
  <c r="B83" i="11"/>
  <c r="N83" i="11"/>
  <c r="O83" i="11"/>
  <c r="A5" i="1"/>
  <c r="P52" i="1"/>
  <c r="M5" i="1"/>
  <c r="N5" i="1"/>
  <c r="A6" i="1"/>
  <c r="N7" i="1"/>
  <c r="F12" i="1"/>
  <c r="F17" i="1"/>
  <c r="O18" i="1"/>
  <c r="P18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B33" i="1"/>
  <c r="E35" i="1"/>
  <c r="F35" i="1"/>
  <c r="G35" i="1"/>
  <c r="H35" i="1"/>
  <c r="I35" i="1"/>
  <c r="J35" i="1"/>
  <c r="K35" i="1"/>
  <c r="L35" i="1"/>
  <c r="M35" i="1"/>
  <c r="N35" i="1"/>
  <c r="O35" i="1"/>
  <c r="P35" i="1"/>
  <c r="B48" i="1"/>
  <c r="B37" i="1"/>
  <c r="Q37" i="1"/>
  <c r="B38" i="1"/>
  <c r="Q38" i="1"/>
  <c r="B39" i="1"/>
  <c r="Q39" i="1"/>
  <c r="B40" i="1"/>
  <c r="Q40" i="1"/>
  <c r="B41" i="1"/>
  <c r="Q41" i="1"/>
  <c r="B42" i="1"/>
  <c r="Q42" i="1"/>
  <c r="B43" i="1"/>
  <c r="Q43" i="1"/>
  <c r="B44" i="1"/>
  <c r="Q44" i="1"/>
  <c r="B45" i="1"/>
  <c r="Q45" i="1"/>
  <c r="B46" i="1"/>
  <c r="Q46" i="1"/>
  <c r="B47" i="1"/>
  <c r="Q47" i="1"/>
  <c r="Q48" i="1"/>
  <c r="A49" i="1"/>
  <c r="D50" i="1"/>
  <c r="E50" i="1"/>
  <c r="F50" i="1"/>
  <c r="G50" i="1"/>
  <c r="H50" i="1"/>
  <c r="I50" i="1"/>
  <c r="J50" i="1"/>
  <c r="K50" i="1"/>
  <c r="L50" i="1"/>
  <c r="M50" i="1"/>
  <c r="N50" i="1"/>
  <c r="O50" i="1"/>
  <c r="Q50" i="1"/>
  <c r="H51" i="1"/>
  <c r="I51" i="1"/>
  <c r="I52" i="1"/>
  <c r="J51" i="1"/>
  <c r="D55" i="1"/>
  <c r="E56" i="1"/>
  <c r="F56" i="1"/>
  <c r="G56" i="1"/>
  <c r="H56" i="1"/>
  <c r="I56" i="1"/>
  <c r="J56" i="1"/>
  <c r="K56" i="1"/>
  <c r="L56" i="1"/>
  <c r="M56" i="1"/>
  <c r="N56" i="1"/>
  <c r="O56" i="1"/>
  <c r="P60" i="1"/>
  <c r="D61" i="1"/>
  <c r="E61" i="1"/>
  <c r="F61" i="1"/>
  <c r="G61" i="1"/>
  <c r="H61" i="1"/>
  <c r="I61" i="1"/>
  <c r="J61" i="1"/>
  <c r="K61" i="1"/>
  <c r="L61" i="1"/>
  <c r="M61" i="1"/>
  <c r="N61" i="1"/>
  <c r="O61" i="1"/>
  <c r="D62" i="1"/>
  <c r="E62" i="1"/>
  <c r="F62" i="1"/>
  <c r="G62" i="1"/>
  <c r="H62" i="1"/>
  <c r="I62" i="1"/>
  <c r="J62" i="1"/>
  <c r="K62" i="1"/>
  <c r="L62" i="1"/>
  <c r="M62" i="1"/>
  <c r="N62" i="1"/>
  <c r="O62" i="1"/>
  <c r="N21" i="10" l="1"/>
  <c r="N22" i="10"/>
  <c r="N23" i="10"/>
  <c r="N24" i="10"/>
  <c r="N25" i="10"/>
  <c r="N26" i="10"/>
  <c r="N27" i="10"/>
  <c r="N28" i="10"/>
  <c r="N29" i="10"/>
  <c r="N30" i="10"/>
  <c r="N31" i="10"/>
  <c r="N32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F21" i="10"/>
  <c r="F22" i="10"/>
  <c r="F23" i="10"/>
  <c r="F24" i="10"/>
  <c r="F25" i="10"/>
  <c r="F26" i="10"/>
  <c r="F27" i="10"/>
  <c r="F28" i="10"/>
  <c r="F29" i="10"/>
  <c r="E21" i="10"/>
  <c r="E22" i="10"/>
  <c r="E23" i="10"/>
  <c r="E24" i="10"/>
  <c r="E25" i="10"/>
  <c r="E26" i="10"/>
  <c r="E27" i="10"/>
  <c r="E28" i="10"/>
  <c r="E29" i="10"/>
  <c r="D21" i="10"/>
  <c r="D22" i="10"/>
  <c r="O22" i="10" s="1"/>
  <c r="D23" i="10"/>
  <c r="O23" i="10" s="1"/>
  <c r="D24" i="10"/>
  <c r="O24" i="10" s="1"/>
  <c r="D25" i="10"/>
  <c r="O25" i="10" s="1"/>
  <c r="D26" i="10"/>
  <c r="O26" i="10" s="1"/>
  <c r="D27" i="10"/>
  <c r="O27" i="10" s="1"/>
  <c r="D28" i="10"/>
  <c r="O28" i="10" s="1"/>
  <c r="D29" i="10"/>
  <c r="O29" i="10" s="1"/>
  <c r="N14" i="10"/>
  <c r="N17" i="10"/>
  <c r="N15" i="10"/>
  <c r="N16" i="10"/>
  <c r="N12" i="10"/>
  <c r="N13" i="10"/>
  <c r="M14" i="10"/>
  <c r="M17" i="10"/>
  <c r="M15" i="10"/>
  <c r="M16" i="10"/>
  <c r="M12" i="10"/>
  <c r="M13" i="10"/>
  <c r="L14" i="10"/>
  <c r="L17" i="10"/>
  <c r="L15" i="10"/>
  <c r="L16" i="10"/>
  <c r="L12" i="10"/>
  <c r="L13" i="10"/>
  <c r="K14" i="10"/>
  <c r="K17" i="10"/>
  <c r="K15" i="10"/>
  <c r="K16" i="10"/>
  <c r="K12" i="10"/>
  <c r="K13" i="10"/>
  <c r="J14" i="10"/>
  <c r="J17" i="10"/>
  <c r="J15" i="10"/>
  <c r="J16" i="10"/>
  <c r="J12" i="10"/>
  <c r="J13" i="10"/>
  <c r="I14" i="10"/>
  <c r="I17" i="10"/>
  <c r="I15" i="10"/>
  <c r="I16" i="10"/>
  <c r="I12" i="10"/>
  <c r="I13" i="10"/>
  <c r="H14" i="10"/>
  <c r="H17" i="10"/>
  <c r="H15" i="10"/>
  <c r="H16" i="10"/>
  <c r="H12" i="10"/>
  <c r="H13" i="10"/>
  <c r="G14" i="10"/>
  <c r="G17" i="10"/>
  <c r="G15" i="10"/>
  <c r="G16" i="10"/>
  <c r="G12" i="10"/>
  <c r="G13" i="10"/>
  <c r="F10" i="10"/>
  <c r="F14" i="10"/>
  <c r="F30" i="10" s="1"/>
  <c r="F15" i="10"/>
  <c r="F31" i="10" s="1"/>
  <c r="F16" i="10"/>
  <c r="F32" i="10" s="1"/>
  <c r="F11" i="10"/>
  <c r="F12" i="10"/>
  <c r="F13" i="10"/>
  <c r="F5" i="10"/>
  <c r="F6" i="10"/>
  <c r="F7" i="10"/>
  <c r="F8" i="10"/>
  <c r="F9" i="10"/>
  <c r="F17" i="10"/>
  <c r="E10" i="10"/>
  <c r="E11" i="10"/>
  <c r="E12" i="10"/>
  <c r="E13" i="10"/>
  <c r="E14" i="10"/>
  <c r="E30" i="10" s="1"/>
  <c r="E15" i="10"/>
  <c r="E31" i="10" s="1"/>
  <c r="E16" i="10"/>
  <c r="E32" i="10" s="1"/>
  <c r="E5" i="10"/>
  <c r="E6" i="10"/>
  <c r="E7" i="10"/>
  <c r="E8" i="10"/>
  <c r="E9" i="10"/>
  <c r="E17" i="10"/>
  <c r="D10" i="10"/>
  <c r="D11" i="10"/>
  <c r="D12" i="10"/>
  <c r="D13" i="10"/>
  <c r="D14" i="10"/>
  <c r="D15" i="10"/>
  <c r="D16" i="10"/>
  <c r="D5" i="10"/>
  <c r="D6" i="10"/>
  <c r="D7" i="10"/>
  <c r="D8" i="10"/>
  <c r="D9" i="10"/>
  <c r="D17" i="10"/>
  <c r="C33" i="12"/>
  <c r="C34" i="12"/>
  <c r="D37" i="12" l="1"/>
  <c r="O16" i="10"/>
  <c r="D32" i="10"/>
  <c r="O32" i="10" s="1"/>
  <c r="O15" i="10"/>
  <c r="D31" i="10"/>
  <c r="O31" i="10" s="1"/>
  <c r="O14" i="10"/>
  <c r="O17" i="10" s="1"/>
  <c r="E3" i="4" s="1"/>
  <c r="D30" i="10"/>
  <c r="O30" i="10" s="1"/>
  <c r="D33" i="10"/>
  <c r="O21" i="10"/>
  <c r="E33" i="10"/>
  <c r="F33" i="10"/>
  <c r="G33" i="10"/>
  <c r="H33" i="10"/>
  <c r="I33" i="10"/>
  <c r="J33" i="10"/>
  <c r="K33" i="10"/>
  <c r="L33" i="10"/>
  <c r="M33" i="10"/>
  <c r="N33" i="10"/>
  <c r="N34" i="10" l="1"/>
  <c r="N35" i="10"/>
  <c r="N43" i="10"/>
  <c r="N39" i="10"/>
  <c r="N40" i="10"/>
  <c r="M34" i="10"/>
  <c r="M35" i="10"/>
  <c r="M43" i="10"/>
  <c r="M39" i="10"/>
  <c r="M40" i="10"/>
  <c r="L34" i="10"/>
  <c r="L35" i="10"/>
  <c r="L43" i="10"/>
  <c r="L39" i="10"/>
  <c r="L40" i="10"/>
  <c r="K34" i="10"/>
  <c r="K35" i="10"/>
  <c r="K43" i="10"/>
  <c r="K39" i="10"/>
  <c r="K40" i="10"/>
  <c r="J34" i="10"/>
  <c r="J35" i="10"/>
  <c r="J43" i="10"/>
  <c r="J39" i="10"/>
  <c r="J40" i="10"/>
  <c r="I34" i="10"/>
  <c r="I35" i="10"/>
  <c r="I43" i="10"/>
  <c r="I39" i="10"/>
  <c r="I40" i="10"/>
  <c r="H34" i="10"/>
  <c r="H35" i="10"/>
  <c r="H43" i="10"/>
  <c r="H39" i="10"/>
  <c r="H40" i="10"/>
  <c r="G34" i="10"/>
  <c r="G35" i="10"/>
  <c r="G43" i="10"/>
  <c r="G39" i="10"/>
  <c r="G40" i="10"/>
  <c r="F38" i="4"/>
  <c r="F39" i="10"/>
  <c r="F34" i="10"/>
  <c r="F35" i="10"/>
  <c r="F40" i="10"/>
  <c r="F39" i="4"/>
  <c r="E39" i="10"/>
  <c r="E34" i="10"/>
  <c r="E35" i="10"/>
  <c r="E40" i="10"/>
  <c r="F40" i="4"/>
  <c r="D39" i="10"/>
  <c r="O33" i="10"/>
  <c r="D34" i="10"/>
  <c r="E8" i="5" s="1"/>
  <c r="D35" i="10"/>
  <c r="G8" i="5" s="1"/>
  <c r="F54" i="11" s="1"/>
  <c r="D40" i="10"/>
  <c r="D83" i="4"/>
  <c r="D84" i="4"/>
  <c r="D85" i="4"/>
  <c r="D86" i="4"/>
  <c r="D87" i="4"/>
  <c r="D88" i="4"/>
  <c r="D89" i="4"/>
  <c r="D29" i="12"/>
  <c r="D30" i="12"/>
  <c r="E30" i="12" s="1"/>
  <c r="D35" i="12"/>
  <c r="D22" i="12" l="1"/>
  <c r="D23" i="12"/>
  <c r="E35" i="12"/>
  <c r="D28" i="12"/>
  <c r="E28" i="12" s="1"/>
  <c r="E29" i="12"/>
  <c r="D32" i="12"/>
  <c r="D34" i="12"/>
  <c r="I8" i="5"/>
  <c r="D54" i="11"/>
  <c r="O39" i="10"/>
  <c r="O34" i="10"/>
  <c r="E10" i="5" s="1"/>
  <c r="O35" i="10"/>
  <c r="G10" i="5" s="1"/>
  <c r="O40" i="10"/>
  <c r="F42" i="4"/>
  <c r="E58" i="4"/>
  <c r="D40" i="4"/>
  <c r="D26" i="11" s="1"/>
  <c r="E40" i="4"/>
  <c r="E26" i="11" s="1"/>
  <c r="G40" i="4"/>
  <c r="G26" i="11" s="1"/>
  <c r="H40" i="4"/>
  <c r="H26" i="11" s="1"/>
  <c r="F26" i="11"/>
  <c r="E57" i="4"/>
  <c r="D39" i="4"/>
  <c r="D25" i="11" s="1"/>
  <c r="E39" i="4"/>
  <c r="E25" i="11" s="1"/>
  <c r="G39" i="4"/>
  <c r="G25" i="11" s="1"/>
  <c r="H39" i="4"/>
  <c r="H25" i="11" s="1"/>
  <c r="F25" i="11"/>
  <c r="E56" i="4"/>
  <c r="D38" i="4"/>
  <c r="D24" i="11" s="1"/>
  <c r="E38" i="4"/>
  <c r="E24" i="11" s="1"/>
  <c r="G38" i="4"/>
  <c r="G24" i="11" s="1"/>
  <c r="H38" i="4"/>
  <c r="H24" i="11" s="1"/>
  <c r="F24" i="11"/>
  <c r="C56" i="4" l="1"/>
  <c r="D56" i="4"/>
  <c r="E43" i="11" s="1"/>
  <c r="F56" i="4"/>
  <c r="G43" i="11" s="1"/>
  <c r="G56" i="4"/>
  <c r="H43" i="11" s="1"/>
  <c r="F43" i="11"/>
  <c r="O21" i="1"/>
  <c r="C57" i="4"/>
  <c r="D57" i="4"/>
  <c r="E44" i="11" s="1"/>
  <c r="F57" i="4"/>
  <c r="G44" i="11" s="1"/>
  <c r="G57" i="4"/>
  <c r="H44" i="11" s="1"/>
  <c r="F44" i="11"/>
  <c r="O20" i="1"/>
  <c r="C58" i="4"/>
  <c r="D58" i="4"/>
  <c r="E45" i="11" s="1"/>
  <c r="F58" i="4"/>
  <c r="G45" i="11" s="1"/>
  <c r="G58" i="4"/>
  <c r="H45" i="11" s="1"/>
  <c r="F45" i="11"/>
  <c r="O19" i="1"/>
  <c r="E60" i="4"/>
  <c r="F47" i="11" s="1"/>
  <c r="F28" i="11"/>
  <c r="E42" i="4"/>
  <c r="G7" i="5"/>
  <c r="F56" i="11"/>
  <c r="E7" i="5"/>
  <c r="D56" i="11"/>
  <c r="C43" i="10"/>
  <c r="D42" i="4"/>
  <c r="F43" i="10"/>
  <c r="E43" i="10"/>
  <c r="D43" i="10"/>
  <c r="L14" i="5"/>
  <c r="H54" i="11"/>
  <c r="D58" i="11" s="1"/>
  <c r="D33" i="12"/>
  <c r="E33" i="12" s="1"/>
  <c r="E34" i="12"/>
  <c r="D31" i="12"/>
  <c r="E31" i="12" s="1"/>
  <c r="E32" i="12"/>
  <c r="C60" i="4" l="1"/>
  <c r="D28" i="11"/>
  <c r="G42" i="4"/>
  <c r="G28" i="11" s="1"/>
  <c r="H42" i="4"/>
  <c r="H28" i="11" s="1"/>
  <c r="K44" i="10"/>
  <c r="I13" i="5" s="1"/>
  <c r="I7" i="5"/>
  <c r="I12" i="5"/>
  <c r="E14" i="5"/>
  <c r="D53" i="11"/>
  <c r="E12" i="5"/>
  <c r="F53" i="11"/>
  <c r="D60" i="4"/>
  <c r="E47" i="11" s="1"/>
  <c r="E28" i="11"/>
  <c r="H58" i="4"/>
  <c r="D45" i="11"/>
  <c r="P19" i="1"/>
  <c r="H57" i="4"/>
  <c r="D44" i="11"/>
  <c r="P20" i="1"/>
  <c r="H59" i="4"/>
  <c r="H56" i="4"/>
  <c r="D94" i="4"/>
  <c r="E60" i="5" s="1"/>
  <c r="M23" i="5" s="1"/>
  <c r="D43" i="11"/>
  <c r="P21" i="1"/>
  <c r="O26" i="5" l="1"/>
  <c r="M69" i="11"/>
  <c r="K73" i="4"/>
  <c r="K74" i="4"/>
  <c r="K75" i="4"/>
  <c r="K72" i="4"/>
  <c r="K64" i="4"/>
  <c r="K65" i="4"/>
  <c r="K66" i="4"/>
  <c r="K67" i="4"/>
  <c r="K68" i="4"/>
  <c r="K69" i="4"/>
  <c r="K70" i="4"/>
  <c r="K71" i="4"/>
  <c r="N64" i="4"/>
  <c r="N73" i="4"/>
  <c r="N74" i="4"/>
  <c r="N75" i="4"/>
  <c r="N72" i="4"/>
  <c r="N65" i="4"/>
  <c r="N66" i="4"/>
  <c r="N67" i="4"/>
  <c r="N68" i="4"/>
  <c r="N69" i="4"/>
  <c r="N70" i="4"/>
  <c r="N71" i="4"/>
  <c r="L73" i="4"/>
  <c r="L74" i="4"/>
  <c r="L75" i="4"/>
  <c r="L72" i="4"/>
  <c r="L64" i="4"/>
  <c r="L65" i="4"/>
  <c r="L66" i="4"/>
  <c r="L67" i="4"/>
  <c r="L68" i="4"/>
  <c r="L69" i="4"/>
  <c r="L70" i="4"/>
  <c r="L71" i="4"/>
  <c r="M73" i="4"/>
  <c r="M74" i="4"/>
  <c r="M75" i="4"/>
  <c r="M72" i="4"/>
  <c r="M64" i="4"/>
  <c r="M65" i="4"/>
  <c r="M66" i="4"/>
  <c r="M67" i="4"/>
  <c r="M68" i="4"/>
  <c r="M69" i="4"/>
  <c r="M70" i="4"/>
  <c r="M71" i="4"/>
  <c r="K7" i="5"/>
  <c r="H53" i="11"/>
  <c r="F60" i="4"/>
  <c r="G47" i="11" s="1"/>
  <c r="G60" i="4"/>
  <c r="H47" i="11" s="1"/>
  <c r="D47" i="11"/>
  <c r="K10" i="5" l="1"/>
  <c r="K11" i="5"/>
  <c r="J53" i="11"/>
  <c r="O71" i="4"/>
  <c r="O70" i="4"/>
  <c r="O69" i="4"/>
  <c r="O68" i="4"/>
  <c r="O67" i="4"/>
  <c r="O66" i="4"/>
  <c r="O65" i="4"/>
  <c r="O64" i="4"/>
  <c r="O72" i="4"/>
  <c r="C91" i="4" s="1"/>
  <c r="O75" i="4"/>
  <c r="C94" i="4" s="1"/>
  <c r="O74" i="4"/>
  <c r="C93" i="4" s="1"/>
  <c r="O73" i="4"/>
  <c r="C92" i="4" s="1"/>
  <c r="O72" i="11"/>
  <c r="F92" i="4" l="1"/>
  <c r="K92" i="4"/>
  <c r="A92" i="4"/>
  <c r="K24" i="5" s="1"/>
  <c r="K70" i="11" s="1"/>
  <c r="K25" i="5"/>
  <c r="K71" i="11" s="1"/>
  <c r="E92" i="4"/>
  <c r="F58" i="5" s="1"/>
  <c r="C58" i="5"/>
  <c r="N28" i="5" s="1"/>
  <c r="N74" i="11" s="1"/>
  <c r="D58" i="5"/>
  <c r="L92" i="4"/>
  <c r="N92" i="4"/>
  <c r="F93" i="4"/>
  <c r="K93" i="4"/>
  <c r="A93" i="4"/>
  <c r="L24" i="5" s="1"/>
  <c r="L70" i="11" s="1"/>
  <c r="L25" i="5"/>
  <c r="L71" i="11" s="1"/>
  <c r="E93" i="4"/>
  <c r="F59" i="5" s="1"/>
  <c r="C59" i="5"/>
  <c r="N27" i="5" s="1"/>
  <c r="N73" i="11" s="1"/>
  <c r="D59" i="5"/>
  <c r="L93" i="4"/>
  <c r="N93" i="4"/>
  <c r="F94" i="4"/>
  <c r="K94" i="4"/>
  <c r="A94" i="4"/>
  <c r="M24" i="5" s="1"/>
  <c r="M70" i="11" s="1"/>
  <c r="M25" i="5"/>
  <c r="M71" i="11" s="1"/>
  <c r="E94" i="4"/>
  <c r="F60" i="5" s="1"/>
  <c r="M65" i="5" s="1"/>
  <c r="M26" i="5" s="1"/>
  <c r="M72" i="11" s="1"/>
  <c r="C60" i="5"/>
  <c r="N26" i="5" s="1"/>
  <c r="N72" i="11" s="1"/>
  <c r="D60" i="5"/>
  <c r="L94" i="4"/>
  <c r="N94" i="4"/>
  <c r="K91" i="4"/>
  <c r="A91" i="4"/>
  <c r="J24" i="5" s="1"/>
  <c r="J70" i="11" s="1"/>
  <c r="J25" i="5"/>
  <c r="J71" i="11" s="1"/>
  <c r="F91" i="4"/>
  <c r="E91" i="4"/>
  <c r="F57" i="5" s="1"/>
  <c r="C57" i="5"/>
  <c r="N29" i="5" s="1"/>
  <c r="N75" i="11" s="1"/>
  <c r="D57" i="5"/>
  <c r="L91" i="4"/>
  <c r="N91" i="4"/>
  <c r="J56" i="11"/>
  <c r="J57" i="11"/>
  <c r="B60" i="11"/>
  <c r="J64" i="5" l="1"/>
  <c r="M68" i="5"/>
  <c r="G57" i="5"/>
  <c r="G94" i="4"/>
  <c r="G60" i="5"/>
  <c r="H94" i="4"/>
  <c r="I60" i="5" s="1"/>
  <c r="I94" i="4"/>
  <c r="J60" i="5" s="1"/>
  <c r="L64" i="5"/>
  <c r="M66" i="5"/>
  <c r="G93" i="4"/>
  <c r="G59" i="5"/>
  <c r="K64" i="5"/>
  <c r="M67" i="5"/>
  <c r="G92" i="4"/>
  <c r="G58" i="5"/>
  <c r="D91" i="4" l="1"/>
  <c r="H58" i="5"/>
  <c r="G91" i="4"/>
  <c r="D92" i="4"/>
  <c r="H59" i="5"/>
  <c r="D93" i="4"/>
  <c r="H60" i="5"/>
  <c r="E59" i="5" l="1"/>
  <c r="L23" i="5" s="1"/>
  <c r="H93" i="4"/>
  <c r="I59" i="5" s="1"/>
  <c r="I93" i="4"/>
  <c r="J59" i="5" s="1"/>
  <c r="E58" i="5"/>
  <c r="K23" i="5" s="1"/>
  <c r="H92" i="4"/>
  <c r="I58" i="5" s="1"/>
  <c r="I92" i="4"/>
  <c r="J58" i="5" s="1"/>
  <c r="H57" i="5"/>
  <c r="F40" i="5" s="1"/>
  <c r="D90" i="4"/>
  <c r="E57" i="5"/>
  <c r="J23" i="5" s="1"/>
  <c r="H91" i="4"/>
  <c r="I57" i="5" s="1"/>
  <c r="I91" i="4"/>
  <c r="J57" i="5" s="1"/>
  <c r="O29" i="5" l="1"/>
  <c r="J69" i="11"/>
  <c r="J65" i="5"/>
  <c r="J26" i="5" s="1"/>
  <c r="J72" i="11" s="1"/>
  <c r="K65" i="5"/>
  <c r="L65" i="5"/>
  <c r="J66" i="5"/>
  <c r="K66" i="5"/>
  <c r="J67" i="5"/>
  <c r="O28" i="5"/>
  <c r="K69" i="11"/>
  <c r="K26" i="5"/>
  <c r="K72" i="11" s="1"/>
  <c r="O27" i="5"/>
  <c r="L69" i="11"/>
  <c r="L26" i="5"/>
  <c r="L72" i="11" s="1"/>
  <c r="J27" i="5" l="1"/>
  <c r="J73" i="11" s="1"/>
  <c r="K27" i="5"/>
  <c r="K73" i="11" s="1"/>
  <c r="L27" i="5"/>
  <c r="L73" i="11" s="1"/>
  <c r="O73" i="11"/>
  <c r="J28" i="5"/>
  <c r="J74" i="11" s="1"/>
  <c r="K28" i="5"/>
  <c r="K74" i="11" s="1"/>
  <c r="O74" i="11"/>
  <c r="J29" i="5"/>
  <c r="J75" i="11" s="1"/>
  <c r="O75" i="11"/>
</calcChain>
</file>

<file path=xl/sharedStrings.xml><?xml version="1.0" encoding="utf-8"?>
<sst xmlns="http://schemas.openxmlformats.org/spreadsheetml/2006/main" count="417" uniqueCount="268">
  <si>
    <t>SUM</t>
  </si>
  <si>
    <t>Type  input data</t>
  </si>
  <si>
    <t>INPUT MATRIX</t>
  </si>
  <si>
    <t>Total number of observations  N =</t>
  </si>
  <si>
    <t>3 = percentages  (sum of each row = 100 %)</t>
  </si>
  <si>
    <t>2 = percentages  (sum of all cells = 100 %)</t>
  </si>
  <si>
    <t>4 = percentages  (sum of each column = 100 %)</t>
  </si>
  <si>
    <t>Frq.</t>
  </si>
  <si>
    <t>Perc.</t>
  </si>
  <si>
    <t>ABSOLUTE FREQUENCIES</t>
  </si>
  <si>
    <t>VERY</t>
  </si>
  <si>
    <t>HAPPY</t>
  </si>
  <si>
    <t>UNHAPPY</t>
  </si>
  <si>
    <t>Happiness</t>
  </si>
  <si>
    <t>Sum of all 12 x 12 matrix cells =</t>
  </si>
  <si>
    <t>RECOMMENDATION:</t>
  </si>
  <si>
    <t xml:space="preserve">   Clear all  yellow input cells below before using this table.</t>
  </si>
  <si>
    <t>1 = absolute frequencies only</t>
  </si>
  <si>
    <t>ORIGIN</t>
  </si>
  <si>
    <t>(copied from input)</t>
  </si>
  <si>
    <t xml:space="preserve">  Number of observations</t>
  </si>
  <si>
    <t xml:space="preserve">  Minimum (r,c)</t>
  </si>
  <si>
    <t>AVERAGE  HAPPINESS AT  DIFFERENT CORRELATE LEVELS</t>
  </si>
  <si>
    <t>Correlate</t>
  </si>
  <si>
    <t xml:space="preserve">Average </t>
  </si>
  <si>
    <t>value</t>
  </si>
  <si>
    <t xml:space="preserve">Standard </t>
  </si>
  <si>
    <t>error</t>
  </si>
  <si>
    <t>lower</t>
  </si>
  <si>
    <t>upper</t>
  </si>
  <si>
    <t>95 % confidence limit</t>
  </si>
  <si>
    <t>TOTAL</t>
  </si>
  <si>
    <t>AVERAGE HAPPINESS VALUES  AND THEIR STANDARD DEVIATIONS:</t>
  </si>
  <si>
    <t>Number of</t>
  </si>
  <si>
    <t>observations</t>
  </si>
  <si>
    <t>Overall</t>
  </si>
  <si>
    <t>"Happiness" scale:</t>
  </si>
  <si>
    <t>Highest possible score</t>
  </si>
  <si>
    <t>Lowest possible score</t>
  </si>
  <si>
    <t>Transformation of happiness scores:</t>
  </si>
  <si>
    <t>Factor</t>
  </si>
  <si>
    <t xml:space="preserve">Term </t>
  </si>
  <si>
    <t>USING ORIGINAL SCALE OF MEASUREMENT:</t>
  </si>
  <si>
    <t xml:space="preserve">   AVERAGE  HAPPINESS AT  DIFFERENT CORRELATE LEVELS</t>
  </si>
  <si>
    <t xml:space="preserve">Number of levels of correlate  = </t>
  </si>
  <si>
    <t>Number of rows</t>
  </si>
  <si>
    <t>|</t>
  </si>
  <si>
    <t>^</t>
  </si>
  <si>
    <t>AFTER TRANSFORMATION ONTO A   [0;10]  SCALE:</t>
  </si>
  <si>
    <t xml:space="preserve">  Number of correlate levels (c)</t>
  </si>
  <si>
    <t xml:space="preserve">  Number of rows (r)</t>
  </si>
  <si>
    <t>Total  input absolute frequency =</t>
  </si>
  <si>
    <t>W.M. Kalmijn</t>
  </si>
  <si>
    <t>ORDERED  TRANSFORMED  MEANS:</t>
  </si>
  <si>
    <t>do</t>
  </si>
  <si>
    <t>cumul.</t>
  </si>
  <si>
    <t>Rank</t>
  </si>
  <si>
    <t xml:space="preserve">Rank </t>
  </si>
  <si>
    <t>MEANS  AFTER TRANSFORMATION ONTO A   [0;10]  SCALE:</t>
  </si>
  <si>
    <t>RANK</t>
  </si>
  <si>
    <t>s.e.m.</t>
  </si>
  <si>
    <t xml:space="preserve">           MULTIPLE COMPARISON OF  AVERAGE HAPPINESS  AT THE DIFFERENT CORRELATE LEVELS.</t>
  </si>
  <si>
    <t>NOTE:</t>
  </si>
  <si>
    <t>Although happiness scores are essentially measurements at the ordinal level,</t>
  </si>
  <si>
    <t>it is not uncommon to treat them as metric observations.</t>
  </si>
  <si>
    <t>are compared  and tested for significant differences between various correlate levels.</t>
  </si>
  <si>
    <t>In that case it is permitted  to compute average values and standard deviations, which</t>
  </si>
  <si>
    <t>Level</t>
  </si>
  <si>
    <t>SS</t>
  </si>
  <si>
    <t>df</t>
  </si>
  <si>
    <t>Between levels</t>
  </si>
  <si>
    <t>Within levels</t>
  </si>
  <si>
    <t>Total</t>
  </si>
  <si>
    <t>Source</t>
  </si>
  <si>
    <t>MS</t>
  </si>
  <si>
    <t>F</t>
  </si>
  <si>
    <t>ANOVA table</t>
  </si>
  <si>
    <t>------------------------------------------------------------------------------------------------------------------------------------------</t>
  </si>
  <si>
    <t>---------------------------------------------------------------------------------------------------</t>
  </si>
  <si>
    <t>--------------------------------------------------------------------------------------------------</t>
  </si>
  <si>
    <t>P1(F)=</t>
  </si>
  <si>
    <t xml:space="preserve">the 5 % significance level. This level refers to </t>
  </si>
  <si>
    <t xml:space="preserve"> not to individual</t>
  </si>
  <si>
    <t>the total package of statements of differences,</t>
  </si>
  <si>
    <t>SUM  = SUM  (n * ((average -general average)^2))   =</t>
  </si>
  <si>
    <t>FOR  CHECK:</t>
  </si>
  <si>
    <t>Checks:</t>
  </si>
  <si>
    <t>and</t>
  </si>
  <si>
    <t>statements on individual differences.  As a matter of fact, underlinings in single cells only should be ignored.</t>
  </si>
  <si>
    <t xml:space="preserve"> SS between  II = </t>
  </si>
  <si>
    <t xml:space="preserve">SS between   I = </t>
  </si>
  <si>
    <t xml:space="preserve">    SQRT(MSW) =</t>
  </si>
  <si>
    <t>FEATURES of this PROGRAMME.</t>
  </si>
  <si>
    <t xml:space="preserve">      transformed onto a [0;10]  scale.</t>
  </si>
  <si>
    <t>The correlate can be varied  at 12 levels as a maximum.</t>
  </si>
  <si>
    <t xml:space="preserve">      percentages together with the appropriate boundary total frequencies. The 'type'  of input has to be</t>
  </si>
  <si>
    <t xml:space="preserve">      specified  carefully.</t>
  </si>
  <si>
    <t xml:space="preserve">      confidence interval for the true but unknown mean happiness at that correlate level. This is made for</t>
  </si>
  <si>
    <t xml:space="preserve">      both the original and the transformed happiness scores (transformed onto a [0;10] scale) and the results</t>
  </si>
  <si>
    <t xml:space="preserve">      can be found on the "Means"  sheet.</t>
  </si>
  <si>
    <t xml:space="preserve">5.   For each level of the correlate, the programme calculates the mean happiness score and a 95 % </t>
  </si>
  <si>
    <t>CONVERSION INTO ABSOLUTE FREQUENCIES:</t>
  </si>
  <si>
    <t xml:space="preserve">      Various other statistics are reported, which are all functions of the chi suared statistic only:</t>
  </si>
  <si>
    <t>--&gt;&gt;   CORRELATE  VALUE (LEVEL)  CODES</t>
  </si>
  <si>
    <t xml:space="preserve">  Standard deviation  </t>
  </si>
  <si>
    <t xml:space="preserve">Average value  </t>
  </si>
  <si>
    <t>value code</t>
  </si>
  <si>
    <t>Average value</t>
  </si>
  <si>
    <t>Correlate value level code.</t>
  </si>
  <si>
    <t>level code</t>
  </si>
  <si>
    <t>Reverted</t>
  </si>
  <si>
    <t>rank</t>
  </si>
  <si>
    <t>Linear transformation of y onto a [0;10]  (t-)scale:</t>
  </si>
  <si>
    <t>9 = input as  average value and standard deviation</t>
  </si>
  <si>
    <t xml:space="preserve">  Input type   (1/2/3/4/9)</t>
  </si>
  <si>
    <t xml:space="preserve">Score sum  </t>
  </si>
  <si>
    <t xml:space="preserve">      and Tschuprow's  T squared statistic.</t>
  </si>
  <si>
    <t xml:space="preserve">SSW  </t>
  </si>
  <si>
    <t xml:space="preserve">df   </t>
  </si>
  <si>
    <t xml:space="preserve">SSB  </t>
  </si>
  <si>
    <t xml:space="preserve">      the various levels of the correlate. The procedure is  based on Bonferroni's t-statistics.  For the total results</t>
  </si>
  <si>
    <t>Multiple pairwise comparisons on the basis of Bonferroni's t-statistics.</t>
  </si>
  <si>
    <t xml:space="preserve">Correlate level code  </t>
  </si>
  <si>
    <t xml:space="preserve">Absolute frequency  </t>
  </si>
  <si>
    <t xml:space="preserve">of happiness        </t>
  </si>
  <si>
    <t>CRITICAL VALUES  OF DIFFERENCES  BETWEEN TRANSFORMED  AVERAGE HAPPINESS SCORES:</t>
  </si>
  <si>
    <t>AFTER  LINEAR  TRANSFORMATION  ONTO  A   [0;10]  SCALE:</t>
  </si>
  <si>
    <t xml:space="preserve">  y - &gt; t(y) = factor *  y   + term</t>
  </si>
  <si>
    <t>SIGNIFICANCE of ETA SQUARED:</t>
  </si>
  <si>
    <t xml:space="preserve">F  =  </t>
  </si>
  <si>
    <t xml:space="preserve">P1  =  </t>
  </si>
  <si>
    <t xml:space="preserve">(do)   </t>
  </si>
  <si>
    <t xml:space="preserve">   Eta squared =</t>
  </si>
  <si>
    <t xml:space="preserve">      also a One Way Analysis of Variance  table is given.  This also gives the value of eta squared, which is</t>
  </si>
  <si>
    <t xml:space="preserve">      the fraction of the total variability in the measured happiness for which variation  in the correlate is</t>
  </si>
  <si>
    <t xml:space="preserve">Number of levels of correlate  =  </t>
  </si>
  <si>
    <t xml:space="preserve">Number of observations   (N)  =  </t>
  </si>
  <si>
    <t xml:space="preserve">Eta squared  =  </t>
  </si>
  <si>
    <t>input</t>
  </si>
  <si>
    <t xml:space="preserve">      Moreover he programme allows to compute the P1-value for a given value of eta squared, provided the total</t>
  </si>
  <si>
    <t xml:space="preserve">      number of observations (N) and the number of correlate levels are entered (sheet "Input").</t>
  </si>
  <si>
    <t>on the sheets "Means"  and  "MulComp"  has been done. The average happiness  values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</si>
  <si>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</si>
  <si>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</si>
  <si>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</si>
  <si>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</si>
  <si>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</si>
  <si>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</si>
  <si>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</si>
  <si>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</si>
  <si>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</si>
  <si>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</si>
  <si>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</si>
  <si>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level</t>
  </si>
  <si>
    <t xml:space="preserve">          Correlate</t>
  </si>
  <si>
    <t>code</t>
  </si>
  <si>
    <t xml:space="preserve">Number of subjects studied </t>
  </si>
  <si>
    <t>"Happiness" scale  (vertical):</t>
  </si>
  <si>
    <t xml:space="preserve">   Highest possible score</t>
  </si>
  <si>
    <t xml:space="preserve">   Lowest possible score</t>
  </si>
  <si>
    <t>File name (study code):</t>
  </si>
  <si>
    <t xml:space="preserve">   Number of  columns (levels)</t>
  </si>
  <si>
    <t xml:space="preserve">   Specification:</t>
  </si>
  <si>
    <t>INPUT AS  CROSS TABULATION OF OBSERVED FREQUENCIES:</t>
  </si>
  <si>
    <t>(Type of input data code 1, 2, 3, or 4)</t>
  </si>
  <si>
    <t>(Type of input data code = 9)</t>
  </si>
  <si>
    <t>(including DK/NA)</t>
  </si>
  <si>
    <t>Correlate (independent) variable (horizontal):</t>
  </si>
  <si>
    <t xml:space="preserve"> (maximum 12)</t>
  </si>
  <si>
    <t>INPUT  AS   AVERAGE  HAPPINESS SCORE AND STANDARD DEVIATION PER "CLASS":</t>
  </si>
  <si>
    <t xml:space="preserve">   Number of rows (maximum 12)</t>
  </si>
  <si>
    <t>WORLD  DATABASE  OF HAPPINESS           CORRELATIONAL    FINDINGS</t>
  </si>
  <si>
    <t xml:space="preserve">      This input  is acceptable in various forms:  as absolute frequencies, as as total, as horiontal or as vertical</t>
  </si>
  <si>
    <t xml:space="preserve">      The input has to be entered on the worksheet "Excerpt WDH".</t>
  </si>
  <si>
    <t xml:space="preserve">      Phi coëfficient, Phi squared,  Pearson's  Contingency Coëfficient C,  Cramér's V, Cramér's V squared,</t>
  </si>
  <si>
    <t xml:space="preserve">      The worksheet "Convert"  enables to calculate any of those statistics from any other one.</t>
  </si>
  <si>
    <t>2.   All sheets are protected, except the yellow coloured  input cells.  Output cells have a green colour.</t>
  </si>
  <si>
    <r>
      <t>Two or more average happiness  ratings with a common underlining (-------- --------) do</t>
    </r>
    <r>
      <rPr>
        <b/>
        <sz val="10"/>
        <color indexed="39"/>
        <rFont val="Arial"/>
        <family val="2"/>
      </rPr>
      <t xml:space="preserve"> </t>
    </r>
    <r>
      <rPr>
        <sz val="10"/>
        <color indexed="39"/>
        <rFont val="Arial"/>
        <family val="2"/>
      </rPr>
      <t>NOT differ significantly at the</t>
    </r>
  </si>
  <si>
    <t>nog bij te werken</t>
  </si>
  <si>
    <t xml:space="preserve">            Correlate</t>
  </si>
  <si>
    <t>n</t>
  </si>
  <si>
    <t>average</t>
  </si>
  <si>
    <t>4.   The happiness measurements are possible on scales up to 12 points, but eventually the scores  are</t>
  </si>
  <si>
    <t>3.   It also possible to enter the data  as the combination of {number of respondents, average happiness score,</t>
  </si>
  <si>
    <t xml:space="preserve">      standard deviation within that correlate level} for each  correlate level separately; then type of input = 9.</t>
  </si>
  <si>
    <t>Level of measurement:</t>
  </si>
  <si>
    <t>Added spreadsheet  for findings.</t>
  </si>
  <si>
    <t>Happiness: (pseudo-)metric</t>
  </si>
  <si>
    <t xml:space="preserve">      Although hapiness is measured at the ordinal level of measurement, the results are treated as if they have</t>
  </si>
  <si>
    <t xml:space="preserve">      been obtained as results of the metric(interval) level, which is expressed as "(pseudo-)metric".</t>
  </si>
  <si>
    <t xml:space="preserve">      nonmetric  level.</t>
  </si>
  <si>
    <t>1.   This programme has been devised for the analysis of  studies in which the correlate is measured at the</t>
  </si>
  <si>
    <t xml:space="preserve">   ASSOCIATION MEASURES in CROSS TABULATIONS  (CORRELATES at the NONMETRIC  LEVEL).</t>
  </si>
  <si>
    <t>6.   The sheet  "MulComp"  allows to apply a multiple comparison procedure to the mean happiness scores at</t>
  </si>
  <si>
    <t>7.   The sheet F-value computes the P1-value of a given F-value, both in the standard and the scientific format.</t>
  </si>
  <si>
    <t>Correlate: nonmetric</t>
  </si>
  <si>
    <t>The programme has been devised  for correlates that are measured at the</t>
  </si>
  <si>
    <t xml:space="preserve">      nominal level of measurement,  but it is applicable to "ordinal"  correlates as well.</t>
  </si>
  <si>
    <t xml:space="preserve">      accountable.</t>
  </si>
  <si>
    <t>rating</t>
  </si>
  <si>
    <t>Original "Happiness" scale:</t>
  </si>
  <si>
    <t>Frequency</t>
  </si>
  <si>
    <t>Percentage</t>
  </si>
  <si>
    <t xml:space="preserve">h1 = </t>
  </si>
  <si>
    <t xml:space="preserve">u1 = </t>
  </si>
  <si>
    <t xml:space="preserve">Reverse scale ?  </t>
  </si>
  <si>
    <t>do  excluding DK/NA</t>
  </si>
  <si>
    <t xml:space="preserve">  95 % confidence limit</t>
  </si>
  <si>
    <t xml:space="preserve">      Correlate</t>
  </si>
  <si>
    <t xml:space="preserve">     RELEVANT RESULTS TO BE INCLUDED INTO THE EXCERPT.</t>
  </si>
  <si>
    <t xml:space="preserve">        CONVERSION  of  ASSOCIATION MEASURES  in CROSS TABULATIONS.</t>
  </si>
  <si>
    <t>FEATURES OF THIS PROGRAMME.</t>
  </si>
  <si>
    <t>1.  The programme is applicable to cross tabulations when at least one variable</t>
  </si>
  <si>
    <t>3.  The programme computes the right hand tail probability (P1-value) of chi squared</t>
  </si>
  <si>
    <t>5.  The programme gives error messages if</t>
  </si>
  <si>
    <t xml:space="preserve">     - the numbers of rows and/or columns are &lt; 2,  and/or if</t>
  </si>
  <si>
    <t xml:space="preserve">     - the number of observations is less than the number of cells.</t>
  </si>
  <si>
    <t xml:space="preserve">     In cases of those errors the output is unreliable  !</t>
  </si>
  <si>
    <t>DATA SET:</t>
  </si>
  <si>
    <t xml:space="preserve">     INPUT:</t>
  </si>
  <si>
    <t xml:space="preserve">   OUTPUT:</t>
  </si>
  <si>
    <t>Total number of observations  [N]</t>
  </si>
  <si>
    <t>Number of rows [r; r&gt;1]</t>
  </si>
  <si>
    <t>Number of columns  [c; c&gt;1]]</t>
  </si>
  <si>
    <t>ASSOCIATION MEASURES [and their range]:</t>
  </si>
  <si>
    <t>If two or more measures are entered, the programme selects the strongest association.</t>
  </si>
  <si>
    <t>Pearson's Contingency Coefficient  C                       [0; &lt; 1]</t>
  </si>
  <si>
    <t>Cramér's V                                                               [0 ; 1]</t>
  </si>
  <si>
    <t xml:space="preserve">     (the correlate II) is measured at the nominal level  !</t>
  </si>
  <si>
    <t>2.  Given one association statistic, the programme computes  seven other measures.</t>
  </si>
  <si>
    <t xml:space="preserve">     value as a test on the null hypothesis that there is no association at all.</t>
  </si>
  <si>
    <t xml:space="preserve">     This P1-value applies to all other association statistics as well.</t>
  </si>
  <si>
    <t>4.  P1-values are given not only in the "usual" (decimal) format, but also in the scientific or:</t>
  </si>
  <si>
    <t xml:space="preserve">     "E-format",  in which e.g. 0,00452 is written as 4,52E-03</t>
  </si>
  <si>
    <t xml:space="preserve">     - if an association statistic value is entered that exceeds its theoretically maximum value and/or if</t>
  </si>
  <si>
    <t>6.  All cells are protected, except the (yellow) input cells.</t>
  </si>
  <si>
    <t xml:space="preserve">  P1-value  of χ²</t>
  </si>
  <si>
    <t>Min (c,r)</t>
  </si>
  <si>
    <r>
      <t>Recommendation</t>
    </r>
    <r>
      <rPr>
        <sz val="10"/>
        <rFont val="Arial"/>
      </rPr>
      <t>: clear the next 8 yellow cells in column B before entering  a  value.</t>
    </r>
  </si>
  <si>
    <r>
      <t>Phi coefficient   (</t>
    </r>
    <r>
      <rPr>
        <sz val="10"/>
        <rFont val="Arial"/>
      </rPr>
      <t>φ</t>
    </r>
    <r>
      <rPr>
        <sz val="10"/>
        <rFont val="Arial"/>
        <family val="2"/>
      </rPr>
      <t>)</t>
    </r>
  </si>
  <si>
    <r>
      <t>Phi squared (</t>
    </r>
    <r>
      <rPr>
        <sz val="10"/>
        <rFont val="Arial"/>
      </rPr>
      <t>φ</t>
    </r>
    <r>
      <rPr>
        <sz val="10"/>
        <rFont val="Arial"/>
        <family val="2"/>
      </rPr>
      <t>²)                                            [0; min(c,r)-1]</t>
    </r>
  </si>
  <si>
    <t>Cramér's V squared (V²)                                            [0 ; 1]</t>
  </si>
  <si>
    <t xml:space="preserve">Tschuprow's T                                                      [0; &lt;= 1] </t>
  </si>
  <si>
    <t>Tschuprow's T squared  (T²)                                   [0; &lt;= 1]</t>
  </si>
  <si>
    <t>Chi squared   (χ²)                                                      [0; ∞)</t>
  </si>
  <si>
    <t>Degrees of freedom of  χ²</t>
  </si>
  <si>
    <t xml:space="preserve">Chi squared  (χ²) </t>
  </si>
  <si>
    <t>W.M. Kalmijn, 2005-06-29</t>
  </si>
  <si>
    <t>8.   For testing the null hypothesis that there is no association at all, (too) often a chi squared test is applied.</t>
  </si>
  <si>
    <t xml:space="preserve">F  </t>
  </si>
  <si>
    <t xml:space="preserve">The average happiness  values have been computed and compared. If appropriate, </t>
  </si>
  <si>
    <t>In that case it is admisssible to compute average values and standard deviations.</t>
  </si>
  <si>
    <t>a test has been performed for significant differences between various correlate levels.</t>
  </si>
  <si>
    <t xml:space="preserve">Study code: </t>
  </si>
  <si>
    <t xml:space="preserve">   Reverse scale ?  No = 0, Yes = 1</t>
  </si>
  <si>
    <t>*</t>
  </si>
  <si>
    <t xml:space="preserve">CONCLUSION:  </t>
  </si>
  <si>
    <t xml:space="preserve">Label/name of the correlate:   </t>
  </si>
  <si>
    <t>onto a [0;10]scale</t>
  </si>
  <si>
    <t>After linear transformation</t>
  </si>
  <si>
    <t xml:space="preserve"> 2007-05-21</t>
  </si>
  <si>
    <t>(number of columns)</t>
  </si>
  <si>
    <t>AVERAGE  HAPPINESS AT  THE   DIFFERENT CORRELATE LEVELS</t>
  </si>
  <si>
    <t>Service Oriented professionals</t>
  </si>
  <si>
    <t>Prisoners</t>
  </si>
  <si>
    <t>CHASO1975</t>
  </si>
  <si>
    <t>General Population</t>
  </si>
  <si>
    <t>Psychiatric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</si>
</sst>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98" formatCode="0.0"/>
    <numFmt numFmtId="199" formatCode="0.000"/>
    <numFmt numFmtId="204" formatCode="0.0000"/>
    <numFmt numFmtId="210" formatCode="0.0E+00"/>
    <numFmt numFmtId="212" formatCode=";;"/>
    <numFmt numFmtId="213" formatCode="#,##0.0000"/>
  </numFmts>
  <fonts count="35" x14ac:knownFonts="1">
    <font>
      <sz val="10"/>
      <name val="Arial"/>
    </font>
    <font>
      <sz val="10"/>
      <name val="Arial"/>
    </font>
    <font>
      <sz val="10"/>
      <color indexed="39"/>
      <name val="Arial"/>
      <family val="2"/>
    </font>
    <font>
      <b/>
      <sz val="10"/>
      <name val="Arial"/>
      <family val="2"/>
    </font>
    <font>
      <b/>
      <sz val="10"/>
      <color indexed="3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34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b/>
      <sz val="10"/>
      <color indexed="39"/>
      <name val="Arial"/>
      <family val="2"/>
    </font>
    <font>
      <sz val="9"/>
      <name val="Arial"/>
      <family val="2"/>
    </font>
    <font>
      <b/>
      <sz val="12"/>
      <color indexed="34"/>
      <name val="Arial"/>
      <family val="2"/>
    </font>
    <font>
      <b/>
      <sz val="12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sz val="9"/>
      <name val="Arial"/>
    </font>
    <font>
      <sz val="10"/>
      <color indexed="9"/>
      <name val="Arial"/>
    </font>
    <font>
      <b/>
      <i/>
      <u/>
      <sz val="10"/>
      <name val="Arial"/>
      <family val="2"/>
    </font>
    <font>
      <sz val="10"/>
      <color indexed="39"/>
      <name val="Arial"/>
    </font>
    <font>
      <sz val="10"/>
      <name val="Arial Narrow"/>
      <family val="2"/>
    </font>
    <font>
      <b/>
      <sz val="10"/>
      <color indexed="10"/>
      <name val="Arial"/>
    </font>
    <font>
      <sz val="8"/>
      <name val="Arial"/>
    </font>
    <font>
      <sz val="8"/>
      <color indexed="39"/>
      <name val="Arial"/>
      <family val="2"/>
    </font>
    <font>
      <b/>
      <sz val="10"/>
      <name val="Arial"/>
    </font>
    <font>
      <sz val="10"/>
      <color indexed="55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4">
    <xf numFmtId="0" fontId="0" fillId="0" borderId="0" xfId="0"/>
    <xf numFmtId="0" fontId="0" fillId="2" borderId="1" xfId="0" applyFill="1" applyBorder="1" applyAlignment="1">
      <alignment horizontal="center"/>
    </xf>
    <xf numFmtId="0" fontId="4" fillId="3" borderId="2" xfId="0" applyFont="1" applyFill="1" applyBorder="1"/>
    <xf numFmtId="0" fontId="0" fillId="0" borderId="0" xfId="0" applyProtection="1"/>
    <xf numFmtId="0" fontId="0" fillId="0" borderId="3" xfId="0" applyBorder="1"/>
    <xf numFmtId="0" fontId="0" fillId="0" borderId="0" xfId="0" applyBorder="1"/>
    <xf numFmtId="0" fontId="0" fillId="3" borderId="2" xfId="0" applyFill="1" applyBorder="1"/>
    <xf numFmtId="0" fontId="0" fillId="3" borderId="4" xfId="0" applyFill="1" applyBorder="1"/>
    <xf numFmtId="0" fontId="2" fillId="0" borderId="0" xfId="0" applyFont="1"/>
    <xf numFmtId="3" fontId="0" fillId="4" borderId="5" xfId="0" applyNumberFormat="1" applyFill="1" applyBorder="1"/>
    <xf numFmtId="204" fontId="0" fillId="4" borderId="5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Protection="1"/>
    <xf numFmtId="1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2" fontId="5" fillId="4" borderId="6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04" fontId="0" fillId="4" borderId="12" xfId="0" applyNumberFormat="1" applyFill="1" applyBorder="1" applyAlignment="1">
      <alignment horizontal="center"/>
    </xf>
    <xf numFmtId="1" fontId="5" fillId="4" borderId="12" xfId="0" applyNumberFormat="1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2" fontId="0" fillId="4" borderId="14" xfId="0" applyNumberForma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204" fontId="0" fillId="4" borderId="15" xfId="0" applyNumberForma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2" fontId="0" fillId="4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0" fillId="4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04" fontId="0" fillId="0" borderId="3" xfId="0" applyNumberForma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04" fontId="0" fillId="0" borderId="31" xfId="0" applyNumberFormat="1" applyFill="1" applyBorder="1" applyAlignment="1">
      <alignment horizontal="center"/>
    </xf>
    <xf numFmtId="1" fontId="5" fillId="0" borderId="3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31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04" fontId="0" fillId="0" borderId="0" xfId="0" applyNumberForma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4" fillId="3" borderId="32" xfId="0" applyFont="1" applyFill="1" applyBorder="1"/>
    <xf numFmtId="0" fontId="10" fillId="3" borderId="2" xfId="0" applyFont="1" applyFill="1" applyBorder="1"/>
    <xf numFmtId="0" fontId="10" fillId="3" borderId="4" xfId="0" applyFont="1" applyFill="1" applyBorder="1"/>
    <xf numFmtId="49" fontId="0" fillId="0" borderId="0" xfId="0" applyNumberFormat="1" applyAlignment="1">
      <alignment horizontal="left"/>
    </xf>
    <xf numFmtId="204" fontId="5" fillId="4" borderId="12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1" fontId="0" fillId="0" borderId="0" xfId="0" applyNumberFormat="1"/>
    <xf numFmtId="1" fontId="4" fillId="3" borderId="32" xfId="0" applyNumberFormat="1" applyFont="1" applyFill="1" applyBorder="1"/>
    <xf numFmtId="1" fontId="3" fillId="0" borderId="0" xfId="0" applyNumberFormat="1" applyFont="1"/>
    <xf numFmtId="1" fontId="0" fillId="0" borderId="0" xfId="0" applyNumberFormat="1" applyFill="1"/>
    <xf numFmtId="1" fontId="11" fillId="0" borderId="0" xfId="0" applyNumberFormat="1" applyFont="1"/>
    <xf numFmtId="1" fontId="0" fillId="0" borderId="23" xfId="0" applyNumberFormat="1" applyBorder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" xfId="0" applyFill="1" applyBorder="1" applyAlignment="1">
      <alignment horizontal="left"/>
    </xf>
    <xf numFmtId="1" fontId="0" fillId="0" borderId="22" xfId="0" applyNumberForma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2" fontId="5" fillId="4" borderId="36" xfId="0" applyNumberFormat="1" applyFont="1" applyFill="1" applyBorder="1" applyAlignment="1" applyProtection="1">
      <alignment horizontal="center"/>
    </xf>
    <xf numFmtId="2" fontId="5" fillId="4" borderId="9" xfId="0" applyNumberFormat="1" applyFont="1" applyFill="1" applyBorder="1" applyAlignment="1" applyProtection="1">
      <alignment horizontal="center"/>
    </xf>
    <xf numFmtId="2" fontId="5" fillId="4" borderId="10" xfId="0" applyNumberFormat="1" applyFont="1" applyFill="1" applyBorder="1" applyAlignment="1" applyProtection="1">
      <alignment horizontal="center"/>
    </xf>
    <xf numFmtId="204" fontId="0" fillId="0" borderId="1" xfId="0" applyNumberFormat="1" applyFill="1" applyBorder="1" applyAlignment="1" applyProtection="1">
      <alignment horizontal="center"/>
    </xf>
    <xf numFmtId="199" fontId="5" fillId="4" borderId="37" xfId="0" applyNumberFormat="1" applyFont="1" applyFill="1" applyBorder="1" applyAlignment="1" applyProtection="1">
      <alignment horizontal="center"/>
    </xf>
    <xf numFmtId="199" fontId="5" fillId="4" borderId="38" xfId="0" applyNumberFormat="1" applyFont="1" applyFill="1" applyBorder="1" applyAlignment="1" applyProtection="1">
      <alignment horizontal="center"/>
    </xf>
    <xf numFmtId="199" fontId="5" fillId="4" borderId="39" xfId="0" applyNumberFormat="1" applyFont="1" applyFill="1" applyBorder="1" applyAlignment="1" applyProtection="1">
      <alignment horizontal="center"/>
    </xf>
    <xf numFmtId="199" fontId="5" fillId="4" borderId="5" xfId="0" applyNumberFormat="1" applyFont="1" applyFill="1" applyBorder="1" applyAlignment="1" applyProtection="1">
      <alignment horizontal="center"/>
    </xf>
    <xf numFmtId="3" fontId="0" fillId="0" borderId="0" xfId="0" applyNumberFormat="1"/>
    <xf numFmtId="49" fontId="2" fillId="0" borderId="0" xfId="0" applyNumberFormat="1" applyFont="1" applyAlignment="1">
      <alignment horizontal="left"/>
    </xf>
    <xf numFmtId="3" fontId="5" fillId="0" borderId="0" xfId="0" applyNumberFormat="1" applyFont="1" applyFill="1" applyProtection="1"/>
    <xf numFmtId="3" fontId="5" fillId="4" borderId="40" xfId="0" applyNumberFormat="1" applyFont="1" applyFill="1" applyBorder="1" applyAlignment="1" applyProtection="1">
      <alignment horizontal="center"/>
    </xf>
    <xf numFmtId="0" fontId="5" fillId="4" borderId="41" xfId="0" applyFont="1" applyFill="1" applyBorder="1" applyAlignment="1" applyProtection="1">
      <alignment horizontal="center"/>
      <protection locked="0"/>
    </xf>
    <xf numFmtId="0" fontId="5" fillId="4" borderId="42" xfId="0" applyFont="1" applyFill="1" applyBorder="1" applyAlignment="1" applyProtection="1">
      <alignment horizontal="center"/>
      <protection locked="0"/>
    </xf>
    <xf numFmtId="0" fontId="5" fillId="4" borderId="40" xfId="0" applyFont="1" applyFill="1" applyBorder="1" applyAlignment="1" applyProtection="1">
      <alignment horizontal="center"/>
      <protection locked="0"/>
    </xf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/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3" fillId="4" borderId="5" xfId="0" applyNumberFormat="1" applyFont="1" applyFill="1" applyBorder="1" applyAlignment="1" applyProtection="1">
      <alignment horizontal="center"/>
    </xf>
    <xf numFmtId="1" fontId="3" fillId="4" borderId="38" xfId="0" applyNumberFormat="1" applyFont="1" applyFill="1" applyBorder="1" applyAlignment="1" applyProtection="1">
      <alignment horizontal="center"/>
    </xf>
    <xf numFmtId="1" fontId="3" fillId="4" borderId="37" xfId="0" applyNumberFormat="1" applyFont="1" applyFill="1" applyBorder="1" applyAlignment="1" applyProtection="1">
      <alignment horizontal="center"/>
    </xf>
    <xf numFmtId="1" fontId="3" fillId="4" borderId="43" xfId="0" applyNumberFormat="1" applyFont="1" applyFill="1" applyBorder="1" applyAlignment="1" applyProtection="1">
      <alignment horizontal="center"/>
    </xf>
    <xf numFmtId="1" fontId="3" fillId="4" borderId="36" xfId="0" applyNumberFormat="1" applyFont="1" applyFill="1" applyBorder="1" applyAlignment="1" applyProtection="1">
      <alignment horizontal="center"/>
    </xf>
    <xf numFmtId="1" fontId="3" fillId="0" borderId="9" xfId="0" applyNumberFormat="1" applyFont="1" applyFill="1" applyBorder="1" applyAlignment="1" applyProtection="1">
      <alignment horizontal="center"/>
    </xf>
    <xf numFmtId="1" fontId="3" fillId="0" borderId="14" xfId="0" applyNumberFormat="1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1" fontId="3" fillId="0" borderId="10" xfId="0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horizontal="center"/>
    </xf>
    <xf numFmtId="0" fontId="11" fillId="0" borderId="0" xfId="0" applyFont="1" applyFill="1" applyBorder="1" applyProtection="1"/>
    <xf numFmtId="0" fontId="0" fillId="0" borderId="0" xfId="0" quotePrefix="1" applyFill="1" applyBorder="1" applyProtection="1"/>
    <xf numFmtId="0" fontId="0" fillId="0" borderId="0" xfId="0" quotePrefix="1"/>
    <xf numFmtId="0" fontId="0" fillId="0" borderId="38" xfId="0" applyBorder="1" applyAlignment="1">
      <alignment horizontal="center"/>
    </xf>
    <xf numFmtId="0" fontId="4" fillId="0" borderId="0" xfId="0" applyFont="1" applyFill="1" applyBorder="1"/>
    <xf numFmtId="2" fontId="5" fillId="0" borderId="0" xfId="0" applyNumberFormat="1" applyFont="1"/>
    <xf numFmtId="0" fontId="11" fillId="0" borderId="0" xfId="0" applyFont="1"/>
    <xf numFmtId="1" fontId="8" fillId="5" borderId="40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44" xfId="0" applyBorder="1"/>
    <xf numFmtId="0" fontId="0" fillId="0" borderId="45" xfId="0" applyBorder="1" applyAlignment="1">
      <alignment horizontal="right"/>
    </xf>
    <xf numFmtId="0" fontId="0" fillId="0" borderId="46" xfId="0" applyBorder="1"/>
    <xf numFmtId="0" fontId="0" fillId="0" borderId="47" xfId="0" applyBorder="1" applyAlignment="1">
      <alignment horizontal="right"/>
    </xf>
    <xf numFmtId="199" fontId="5" fillId="0" borderId="5" xfId="0" applyNumberFormat="1" applyFont="1" applyFill="1" applyBorder="1" applyAlignment="1" applyProtection="1">
      <alignment horizontal="center"/>
    </xf>
    <xf numFmtId="199" fontId="5" fillId="0" borderId="9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1" fontId="0" fillId="0" borderId="23" xfId="0" applyNumberFormat="1" applyFill="1" applyBorder="1" applyAlignment="1">
      <alignment horizontal="right"/>
    </xf>
    <xf numFmtId="2" fontId="0" fillId="4" borderId="48" xfId="0" applyNumberFormat="1" applyFill="1" applyBorder="1" applyAlignment="1">
      <alignment horizontal="center"/>
    </xf>
    <xf numFmtId="204" fontId="5" fillId="4" borderId="11" xfId="0" applyNumberFormat="1" applyFont="1" applyFill="1" applyBorder="1" applyAlignment="1">
      <alignment horizontal="center"/>
    </xf>
    <xf numFmtId="3" fontId="0" fillId="4" borderId="9" xfId="0" applyNumberFormat="1" applyFill="1" applyBorder="1"/>
    <xf numFmtId="2" fontId="0" fillId="4" borderId="9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5" fillId="0" borderId="0" xfId="0" applyFont="1"/>
    <xf numFmtId="0" fontId="16" fillId="0" borderId="0" xfId="0" applyFont="1"/>
    <xf numFmtId="0" fontId="11" fillId="0" borderId="33" xfId="0" applyFont="1" applyBorder="1"/>
    <xf numFmtId="0" fontId="3" fillId="0" borderId="3" xfId="0" applyFont="1" applyBorder="1"/>
    <xf numFmtId="0" fontId="0" fillId="0" borderId="34" xfId="0" applyBorder="1"/>
    <xf numFmtId="0" fontId="0" fillId="0" borderId="49" xfId="0" applyBorder="1"/>
    <xf numFmtId="0" fontId="0" fillId="0" borderId="50" xfId="0" applyBorder="1"/>
    <xf numFmtId="0" fontId="8" fillId="0" borderId="49" xfId="0" applyFont="1" applyBorder="1"/>
    <xf numFmtId="0" fontId="0" fillId="0" borderId="51" xfId="0" applyBorder="1"/>
    <xf numFmtId="0" fontId="0" fillId="0" borderId="31" xfId="0" applyBorder="1"/>
    <xf numFmtId="0" fontId="0" fillId="0" borderId="52" xfId="0" applyBorder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0" fillId="0" borderId="45" xfId="0" applyBorder="1" applyAlignment="1">
      <alignment horizontal="center"/>
    </xf>
    <xf numFmtId="1" fontId="9" fillId="0" borderId="23" xfId="0" applyNumberFormat="1" applyFont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5" fillId="0" borderId="5" xfId="0" applyFont="1" applyFill="1" applyBorder="1" applyAlignment="1" applyProtection="1">
      <alignment horizontal="center"/>
    </xf>
    <xf numFmtId="2" fontId="5" fillId="0" borderId="5" xfId="0" applyNumberFormat="1" applyFont="1" applyFill="1" applyBorder="1" applyAlignment="1" applyProtection="1">
      <alignment horizontal="center"/>
    </xf>
    <xf numFmtId="204" fontId="0" fillId="0" borderId="17" xfId="0" applyNumberFormat="1" applyFill="1" applyBorder="1" applyAlignment="1" applyProtection="1">
      <alignment horizontal="center"/>
    </xf>
    <xf numFmtId="1" fontId="5" fillId="4" borderId="3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/>
    <xf numFmtId="1" fontId="5" fillId="4" borderId="9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7" fillId="0" borderId="0" xfId="0" applyFont="1"/>
    <xf numFmtId="2" fontId="0" fillId="4" borderId="28" xfId="0" applyNumberFormat="1" applyFill="1" applyBorder="1" applyAlignment="1">
      <alignment horizontal="center"/>
    </xf>
    <xf numFmtId="2" fontId="0" fillId="4" borderId="53" xfId="0" applyNumberFormat="1" applyFill="1" applyBorder="1" applyAlignment="1">
      <alignment horizontal="center"/>
    </xf>
    <xf numFmtId="0" fontId="9" fillId="0" borderId="38" xfId="0" applyFont="1" applyFill="1" applyBorder="1" applyProtection="1"/>
    <xf numFmtId="0" fontId="9" fillId="0" borderId="37" xfId="0" applyFont="1" applyFill="1" applyBorder="1" applyProtection="1"/>
    <xf numFmtId="0" fontId="9" fillId="0" borderId="41" xfId="0" applyFont="1" applyFill="1" applyBorder="1" applyAlignment="1" applyProtection="1">
      <alignment horizontal="center"/>
    </xf>
    <xf numFmtId="0" fontId="9" fillId="0" borderId="43" xfId="0" applyFont="1" applyFill="1" applyBorder="1" applyProtection="1"/>
    <xf numFmtId="0" fontId="9" fillId="0" borderId="5" xfId="0" applyFont="1" applyFill="1" applyBorder="1" applyProtection="1"/>
    <xf numFmtId="0" fontId="9" fillId="0" borderId="25" xfId="0" applyFont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9" xfId="0" applyFont="1" applyFill="1" applyBorder="1" applyProtection="1"/>
    <xf numFmtId="0" fontId="9" fillId="0" borderId="42" xfId="0" applyFont="1" applyFill="1" applyBorder="1" applyAlignment="1" applyProtection="1">
      <alignment horizontal="center"/>
    </xf>
    <xf numFmtId="1" fontId="5" fillId="0" borderId="38" xfId="0" applyNumberFormat="1" applyFont="1" applyFill="1" applyBorder="1" applyAlignment="1" applyProtection="1">
      <alignment horizontal="center"/>
    </xf>
    <xf numFmtId="1" fontId="5" fillId="0" borderId="37" xfId="0" applyNumberFormat="1" applyFont="1" applyFill="1" applyBorder="1" applyAlignment="1" applyProtection="1">
      <alignment horizontal="center"/>
    </xf>
    <xf numFmtId="1" fontId="5" fillId="0" borderId="39" xfId="0" applyNumberFormat="1" applyFont="1" applyFill="1" applyBorder="1" applyAlignment="1" applyProtection="1">
      <alignment horizontal="center"/>
    </xf>
    <xf numFmtId="1" fontId="5" fillId="0" borderId="8" xfId="0" applyNumberFormat="1" applyFont="1" applyFill="1" applyBorder="1" applyAlignment="1" applyProtection="1">
      <alignment horizontal="center"/>
    </xf>
    <xf numFmtId="1" fontId="5" fillId="0" borderId="43" xfId="0" applyNumberFormat="1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/>
    </xf>
    <xf numFmtId="1" fontId="5" fillId="0" borderId="14" xfId="0" applyNumberFormat="1" applyFont="1" applyFill="1" applyBorder="1" applyAlignment="1" applyProtection="1">
      <alignment horizontal="center"/>
    </xf>
    <xf numFmtId="1" fontId="5" fillId="0" borderId="54" xfId="0" applyNumberFormat="1" applyFont="1" applyFill="1" applyBorder="1" applyAlignment="1" applyProtection="1">
      <alignment horizontal="center"/>
    </xf>
    <xf numFmtId="1" fontId="5" fillId="0" borderId="36" xfId="0" applyNumberFormat="1" applyFont="1" applyFill="1" applyBorder="1" applyAlignment="1" applyProtection="1">
      <alignment horizontal="center"/>
    </xf>
    <xf numFmtId="1" fontId="5" fillId="0" borderId="9" xfId="0" applyNumberFormat="1" applyFont="1" applyFill="1" applyBorder="1" applyAlignment="1" applyProtection="1">
      <alignment horizontal="center"/>
    </xf>
    <xf numFmtId="1" fontId="5" fillId="0" borderId="10" xfId="0" applyNumberFormat="1" applyFont="1" applyFill="1" applyBorder="1" applyAlignment="1" applyProtection="1">
      <alignment horizontal="center"/>
    </xf>
    <xf numFmtId="1" fontId="5" fillId="0" borderId="55" xfId="0" applyNumberFormat="1" applyFont="1" applyFill="1" applyBorder="1" applyAlignment="1" applyProtection="1">
      <alignment horizontal="center"/>
    </xf>
    <xf numFmtId="1" fontId="5" fillId="0" borderId="56" xfId="0" applyNumberFormat="1" applyFont="1" applyFill="1" applyBorder="1" applyAlignment="1" applyProtection="1">
      <alignment horizontal="center"/>
    </xf>
    <xf numFmtId="1" fontId="5" fillId="0" borderId="11" xfId="0" applyNumberFormat="1" applyFont="1" applyFill="1" applyBorder="1" applyAlignment="1" applyProtection="1">
      <alignment horizontal="center"/>
    </xf>
    <xf numFmtId="1" fontId="5" fillId="0" borderId="57" xfId="0" applyNumberFormat="1" applyFont="1" applyFill="1" applyBorder="1" applyAlignment="1" applyProtection="1">
      <alignment horizontal="center"/>
    </xf>
    <xf numFmtId="1" fontId="5" fillId="0" borderId="40" xfId="0" applyNumberFormat="1" applyFont="1" applyFill="1" applyBorder="1" applyAlignment="1" applyProtection="1">
      <alignment horizontal="center"/>
    </xf>
    <xf numFmtId="1" fontId="5" fillId="0" borderId="41" xfId="0" applyNumberFormat="1" applyFont="1" applyFill="1" applyBorder="1" applyAlignment="1" applyProtection="1">
      <alignment horizontal="center"/>
    </xf>
    <xf numFmtId="1" fontId="5" fillId="0" borderId="25" xfId="0" applyNumberFormat="1" applyFont="1" applyFill="1" applyBorder="1" applyAlignment="1" applyProtection="1">
      <alignment horizontal="center"/>
    </xf>
    <xf numFmtId="1" fontId="5" fillId="0" borderId="42" xfId="0" applyNumberFormat="1" applyFont="1" applyFill="1" applyBorder="1" applyAlignment="1" applyProtection="1">
      <alignment horizontal="center"/>
    </xf>
    <xf numFmtId="1" fontId="5" fillId="0" borderId="6" xfId="0" applyNumberFormat="1" applyFont="1" applyFill="1" applyBorder="1" applyAlignment="1" applyProtection="1">
      <alignment horizontal="center"/>
    </xf>
    <xf numFmtId="1" fontId="5" fillId="0" borderId="15" xfId="0" applyNumberFormat="1" applyFont="1" applyFill="1" applyBorder="1" applyAlignment="1" applyProtection="1">
      <alignment horizontal="center"/>
    </xf>
    <xf numFmtId="1" fontId="5" fillId="0" borderId="16" xfId="0" applyNumberFormat="1" applyFont="1" applyFill="1" applyBorder="1" applyAlignment="1" applyProtection="1">
      <alignment horizontal="center"/>
    </xf>
    <xf numFmtId="1" fontId="9" fillId="0" borderId="38" xfId="0" applyNumberFormat="1" applyFont="1" applyFill="1" applyBorder="1" applyAlignment="1" applyProtection="1">
      <alignment horizontal="center"/>
    </xf>
    <xf numFmtId="1" fontId="9" fillId="0" borderId="8" xfId="0" applyNumberFormat="1" applyFont="1" applyFill="1" applyBorder="1" applyAlignment="1" applyProtection="1">
      <alignment horizontal="center"/>
    </xf>
    <xf numFmtId="1" fontId="5" fillId="0" borderId="58" xfId="0" applyNumberFormat="1" applyFont="1" applyFill="1" applyBorder="1" applyAlignment="1" applyProtection="1">
      <alignment horizontal="center"/>
    </xf>
    <xf numFmtId="0" fontId="0" fillId="0" borderId="5" xfId="0" applyFill="1" applyBorder="1" applyAlignment="1">
      <alignment horizontal="center"/>
    </xf>
    <xf numFmtId="2" fontId="9" fillId="5" borderId="39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204" fontId="9" fillId="4" borderId="25" xfId="0" applyNumberFormat="1" applyFont="1" applyFill="1" applyBorder="1" applyAlignment="1">
      <alignment horizontal="center"/>
    </xf>
    <xf numFmtId="0" fontId="0" fillId="6" borderId="25" xfId="0" applyFill="1" applyBorder="1" applyAlignment="1" applyProtection="1">
      <alignment horizontal="center"/>
      <protection locked="0"/>
    </xf>
    <xf numFmtId="2" fontId="9" fillId="0" borderId="41" xfId="0" applyNumberFormat="1" applyFont="1" applyFill="1" applyBorder="1" applyAlignment="1">
      <alignment horizontal="center"/>
    </xf>
    <xf numFmtId="0" fontId="9" fillId="6" borderId="42" xfId="0" applyNumberFormat="1" applyFont="1" applyFill="1" applyBorder="1" applyAlignment="1" applyProtection="1">
      <alignment horizontal="center"/>
      <protection locked="0"/>
    </xf>
    <xf numFmtId="11" fontId="9" fillId="4" borderId="42" xfId="0" applyNumberFormat="1" applyFont="1" applyFill="1" applyBorder="1" applyAlignment="1">
      <alignment horizontal="center"/>
    </xf>
    <xf numFmtId="3" fontId="9" fillId="6" borderId="41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21" fillId="7" borderId="33" xfId="0" applyFont="1" applyFill="1" applyBorder="1" applyAlignment="1">
      <alignment horizontal="center"/>
    </xf>
    <xf numFmtId="0" fontId="21" fillId="7" borderId="34" xfId="0" applyFont="1" applyFill="1" applyBorder="1" applyAlignment="1">
      <alignment horizontal="center"/>
    </xf>
    <xf numFmtId="0" fontId="21" fillId="7" borderId="49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21" fillId="7" borderId="51" xfId="0" applyFont="1" applyFill="1" applyBorder="1" applyAlignment="1">
      <alignment horizontal="center"/>
    </xf>
    <xf numFmtId="0" fontId="21" fillId="7" borderId="52" xfId="0" applyFont="1" applyFill="1" applyBorder="1" applyAlignment="1">
      <alignment horizontal="center"/>
    </xf>
    <xf numFmtId="1" fontId="0" fillId="0" borderId="50" xfId="0" applyNumberFormat="1" applyBorder="1"/>
    <xf numFmtId="0" fontId="5" fillId="0" borderId="4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1" fontId="15" fillId="0" borderId="0" xfId="0" applyNumberFormat="1" applyFont="1" applyAlignment="1">
      <alignment horizontal="center"/>
    </xf>
    <xf numFmtId="1" fontId="3" fillId="4" borderId="39" xfId="0" applyNumberFormat="1" applyFont="1" applyFill="1" applyBorder="1" applyAlignment="1" applyProtection="1">
      <alignment horizontal="center"/>
    </xf>
    <xf numFmtId="2" fontId="15" fillId="0" borderId="0" xfId="0" applyNumberFormat="1" applyFont="1"/>
    <xf numFmtId="1" fontId="15" fillId="0" borderId="0" xfId="0" quotePrefix="1" applyNumberFormat="1" applyFont="1" applyProtection="1"/>
    <xf numFmtId="1" fontId="15" fillId="0" borderId="0" xfId="0" applyNumberFormat="1" applyFont="1" applyAlignment="1" applyProtection="1">
      <alignment horizontal="center"/>
    </xf>
    <xf numFmtId="0" fontId="15" fillId="0" borderId="0" xfId="0" applyFont="1"/>
    <xf numFmtId="199" fontId="5" fillId="0" borderId="14" xfId="0" applyNumberFormat="1" applyFont="1" applyFill="1" applyBorder="1" applyAlignment="1" applyProtection="1">
      <alignment horizontal="center"/>
    </xf>
    <xf numFmtId="199" fontId="5" fillId="0" borderId="10" xfId="0" applyNumberFormat="1" applyFont="1" applyFill="1" applyBorder="1" applyAlignment="1" applyProtection="1">
      <alignment horizontal="center"/>
    </xf>
    <xf numFmtId="0" fontId="0" fillId="0" borderId="59" xfId="0" applyBorder="1"/>
    <xf numFmtId="0" fontId="0" fillId="0" borderId="34" xfId="0" applyBorder="1" applyAlignment="1">
      <alignment horizontal="center"/>
    </xf>
    <xf numFmtId="204" fontId="0" fillId="0" borderId="8" xfId="0" applyNumberFormat="1" applyBorder="1"/>
    <xf numFmtId="204" fontId="0" fillId="0" borderId="54" xfId="0" applyNumberFormat="1" applyBorder="1"/>
    <xf numFmtId="204" fontId="0" fillId="0" borderId="58" xfId="0" applyNumberFormat="1" applyBorder="1"/>
    <xf numFmtId="204" fontId="0" fillId="0" borderId="60" xfId="0" applyNumberFormat="1" applyFill="1" applyBorder="1" applyAlignment="1" applyProtection="1">
      <alignment horizontal="center"/>
    </xf>
    <xf numFmtId="199" fontId="5" fillId="4" borderId="43" xfId="0" applyNumberFormat="1" applyFont="1" applyFill="1" applyBorder="1" applyAlignment="1" applyProtection="1">
      <alignment horizontal="center"/>
    </xf>
    <xf numFmtId="199" fontId="5" fillId="4" borderId="36" xfId="0" applyNumberFormat="1" applyFont="1" applyFill="1" applyBorder="1" applyAlignment="1" applyProtection="1">
      <alignment horizontal="center"/>
    </xf>
    <xf numFmtId="204" fontId="0" fillId="0" borderId="6" xfId="0" applyNumberFormat="1" applyBorder="1"/>
    <xf numFmtId="1" fontId="14" fillId="0" borderId="5" xfId="0" applyNumberFormat="1" applyFont="1" applyFill="1" applyBorder="1" applyAlignment="1" applyProtection="1">
      <alignment horizontal="center"/>
    </xf>
    <xf numFmtId="1" fontId="14" fillId="0" borderId="14" xfId="0" applyNumberFormat="1" applyFont="1" applyFill="1" applyBorder="1" applyAlignment="1" applyProtection="1">
      <alignment horizontal="center"/>
    </xf>
    <xf numFmtId="1" fontId="14" fillId="0" borderId="9" xfId="0" applyNumberFormat="1" applyFont="1" applyFill="1" applyBorder="1" applyAlignment="1" applyProtection="1">
      <alignment horizontal="center"/>
    </xf>
    <xf numFmtId="1" fontId="0" fillId="0" borderId="4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right"/>
    </xf>
    <xf numFmtId="204" fontId="0" fillId="4" borderId="41" xfId="0" applyNumberFormat="1" applyFill="1" applyBorder="1" applyAlignment="1">
      <alignment horizontal="right"/>
    </xf>
    <xf numFmtId="3" fontId="0" fillId="4" borderId="41" xfId="0" applyNumberFormat="1" applyFill="1" applyBorder="1" applyAlignment="1">
      <alignment horizontal="right"/>
    </xf>
    <xf numFmtId="1" fontId="0" fillId="0" borderId="25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right"/>
    </xf>
    <xf numFmtId="204" fontId="0" fillId="4" borderId="25" xfId="0" applyNumberFormat="1" applyFill="1" applyBorder="1" applyAlignment="1">
      <alignment horizontal="right"/>
    </xf>
    <xf numFmtId="3" fontId="0" fillId="4" borderId="25" xfId="0" applyNumberFormat="1" applyFill="1" applyBorder="1" applyAlignment="1">
      <alignment horizontal="right"/>
    </xf>
    <xf numFmtId="1" fontId="0" fillId="0" borderId="42" xfId="0" applyNumberFormat="1" applyFill="1" applyBorder="1" applyAlignment="1">
      <alignment horizontal="center"/>
    </xf>
    <xf numFmtId="2" fontId="0" fillId="4" borderId="42" xfId="0" applyNumberFormat="1" applyFill="1" applyBorder="1" applyAlignment="1">
      <alignment horizontal="right"/>
    </xf>
    <xf numFmtId="204" fontId="0" fillId="4" borderId="42" xfId="0" applyNumberFormat="1" applyFill="1" applyBorder="1" applyAlignment="1">
      <alignment horizontal="right"/>
    </xf>
    <xf numFmtId="3" fontId="0" fillId="4" borderId="42" xfId="0" applyNumberFormat="1" applyFill="1" applyBorder="1" applyAlignment="1">
      <alignment horizontal="right"/>
    </xf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0" xfId="0" applyFill="1" applyBorder="1" applyAlignment="1">
      <alignment horizontal="center"/>
    </xf>
    <xf numFmtId="0" fontId="5" fillId="0" borderId="49" xfId="0" applyFont="1" applyBorder="1"/>
    <xf numFmtId="0" fontId="0" fillId="0" borderId="49" xfId="0" applyFill="1" applyBorder="1"/>
    <xf numFmtId="1" fontId="0" fillId="0" borderId="0" xfId="0" applyNumberFormat="1" applyFill="1" applyProtection="1"/>
    <xf numFmtId="49" fontId="0" fillId="0" borderId="0" xfId="0" applyNumberFormat="1" applyFill="1" applyAlignment="1" applyProtection="1">
      <alignment horizontal="right"/>
    </xf>
    <xf numFmtId="0" fontId="0" fillId="0" borderId="26" xfId="0" applyFill="1" applyBorder="1" applyAlignment="1">
      <alignment horizontal="right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9" xfId="0" applyNumberFormat="1" applyFont="1" applyFill="1" applyBorder="1" applyAlignment="1" applyProtection="1">
      <alignment horizontal="center"/>
    </xf>
    <xf numFmtId="204" fontId="0" fillId="4" borderId="22" xfId="0" applyNumberFormat="1" applyFill="1" applyBorder="1" applyAlignment="1">
      <alignment horizontal="center"/>
    </xf>
    <xf numFmtId="210" fontId="0" fillId="4" borderId="23" xfId="0" applyNumberFormat="1" applyFill="1" applyBorder="1" applyAlignment="1">
      <alignment horizontal="center"/>
    </xf>
    <xf numFmtId="0" fontId="9" fillId="0" borderId="39" xfId="0" applyFont="1" applyFill="1" applyBorder="1" applyProtection="1"/>
    <xf numFmtId="0" fontId="9" fillId="0" borderId="14" xfId="0" applyFont="1" applyFill="1" applyBorder="1" applyProtection="1"/>
    <xf numFmtId="0" fontId="9" fillId="0" borderId="10" xfId="0" applyFont="1" applyFill="1" applyBorder="1" applyProtection="1"/>
    <xf numFmtId="1" fontId="0" fillId="0" borderId="0" xfId="0" applyNumberFormat="1" applyFill="1" applyAlignment="1" applyProtection="1">
      <alignment horizontal="left"/>
    </xf>
    <xf numFmtId="0" fontId="0" fillId="0" borderId="4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04" fontId="0" fillId="2" borderId="20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04" fontId="0" fillId="2" borderId="21" xfId="0" applyNumberFormat="1" applyFill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0" fontId="0" fillId="2" borderId="32" xfId="0" applyFill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3" fillId="2" borderId="36" xfId="0" applyNumberFormat="1" applyFont="1" applyFill="1" applyBorder="1" applyAlignment="1" applyProtection="1">
      <alignment horizontal="center"/>
    </xf>
    <xf numFmtId="1" fontId="3" fillId="2" borderId="38" xfId="0" applyNumberFormat="1" applyFont="1" applyFill="1" applyBorder="1" applyAlignment="1">
      <alignment horizontal="center"/>
    </xf>
    <xf numFmtId="1" fontId="3" fillId="2" borderId="37" xfId="0" applyNumberFormat="1" applyFont="1" applyFill="1" applyBorder="1" applyAlignment="1">
      <alignment horizontal="center"/>
    </xf>
    <xf numFmtId="1" fontId="3" fillId="2" borderId="39" xfId="0" applyNumberFormat="1" applyFont="1" applyFill="1" applyBorder="1" applyAlignment="1">
      <alignment horizontal="center"/>
    </xf>
    <xf numFmtId="1" fontId="3" fillId="2" borderId="43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14" fillId="0" borderId="14" xfId="0" applyNumberFormat="1" applyFont="1" applyFill="1" applyBorder="1" applyAlignment="1">
      <alignment horizontal="center"/>
    </xf>
    <xf numFmtId="1" fontId="14" fillId="0" borderId="5" xfId="0" applyNumberFormat="1" applyFon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34" xfId="0" applyNumberFormat="1" applyFill="1" applyBorder="1" applyAlignment="1">
      <alignment horizontal="center"/>
    </xf>
    <xf numFmtId="1" fontId="0" fillId="2" borderId="49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50" xfId="0" applyNumberFormat="1" applyFill="1" applyBorder="1" applyAlignment="1">
      <alignment horizontal="center"/>
    </xf>
    <xf numFmtId="1" fontId="0" fillId="2" borderId="51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52" xfId="0" applyNumberFormat="1" applyFill="1" applyBorder="1" applyAlignment="1">
      <alignment horizontal="center"/>
    </xf>
    <xf numFmtId="1" fontId="15" fillId="0" borderId="0" xfId="0" applyNumberFormat="1" applyFont="1"/>
    <xf numFmtId="0" fontId="11" fillId="0" borderId="0" xfId="0" applyFont="1" applyFill="1" applyProtection="1"/>
    <xf numFmtId="0" fontId="2" fillId="0" borderId="0" xfId="0" applyFont="1" applyFill="1" applyProtection="1"/>
    <xf numFmtId="0" fontId="0" fillId="0" borderId="33" xfId="0" applyFill="1" applyBorder="1" applyProtection="1"/>
    <xf numFmtId="0" fontId="0" fillId="0" borderId="6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60" xfId="0" applyFill="1" applyBorder="1" applyAlignment="1" applyProtection="1">
      <alignment horizontal="center"/>
    </xf>
    <xf numFmtId="0" fontId="0" fillId="0" borderId="34" xfId="0" applyFill="1" applyBorder="1" applyAlignment="1" applyProtection="1">
      <alignment horizontal="center"/>
    </xf>
    <xf numFmtId="0" fontId="0" fillId="0" borderId="44" xfId="0" applyFill="1" applyBorder="1" applyAlignment="1" applyProtection="1">
      <alignment horizontal="center"/>
    </xf>
    <xf numFmtId="0" fontId="0" fillId="0" borderId="59" xfId="0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46" xfId="0" applyFill="1" applyBorder="1" applyAlignment="1" applyProtection="1">
      <alignment horizontal="center"/>
    </xf>
    <xf numFmtId="0" fontId="0" fillId="0" borderId="51" xfId="0" applyFill="1" applyBorder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51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9" fillId="0" borderId="34" xfId="0" applyFont="1" applyFill="1" applyBorder="1" applyAlignment="1" applyProtection="1">
      <alignment horizontal="center"/>
    </xf>
    <xf numFmtId="2" fontId="5" fillId="0" borderId="38" xfId="0" applyNumberFormat="1" applyFont="1" applyFill="1" applyBorder="1" applyAlignment="1" applyProtection="1">
      <alignment horizontal="center"/>
    </xf>
    <xf numFmtId="2" fontId="5" fillId="0" borderId="37" xfId="0" applyNumberFormat="1" applyFont="1" applyFill="1" applyBorder="1" applyAlignment="1" applyProtection="1">
      <alignment horizontal="center"/>
    </xf>
    <xf numFmtId="2" fontId="5" fillId="0" borderId="39" xfId="0" applyNumberFormat="1" applyFont="1" applyFill="1" applyBorder="1" applyAlignment="1" applyProtection="1">
      <alignment horizontal="center"/>
    </xf>
    <xf numFmtId="0" fontId="3" fillId="0" borderId="62" xfId="0" applyFont="1" applyFill="1" applyBorder="1"/>
    <xf numFmtId="0" fontId="3" fillId="0" borderId="63" xfId="0" applyFont="1" applyFill="1" applyBorder="1"/>
    <xf numFmtId="0" fontId="3" fillId="0" borderId="20" xfId="0" applyFont="1" applyFill="1" applyBorder="1"/>
    <xf numFmtId="0" fontId="0" fillId="0" borderId="42" xfId="0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1" fontId="0" fillId="0" borderId="25" xfId="0" applyNumberFormat="1" applyFill="1" applyBorder="1"/>
    <xf numFmtId="0" fontId="0" fillId="4" borderId="6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1" fontId="0" fillId="4" borderId="41" xfId="0" applyNumberFormat="1" applyFill="1" applyBorder="1" applyAlignment="1" applyProtection="1">
      <alignment horizontal="left"/>
    </xf>
    <xf numFmtId="1" fontId="0" fillId="4" borderId="25" xfId="0" applyNumberFormat="1" applyFill="1" applyBorder="1" applyAlignment="1" applyProtection="1">
      <alignment horizontal="left"/>
    </xf>
    <xf numFmtId="1" fontId="0" fillId="4" borderId="65" xfId="0" applyNumberFormat="1" applyFill="1" applyBorder="1" applyAlignment="1" applyProtection="1">
      <alignment horizontal="left"/>
    </xf>
    <xf numFmtId="1" fontId="0" fillId="4" borderId="42" xfId="0" applyNumberFormat="1" applyFill="1" applyBorder="1" applyAlignment="1" applyProtection="1">
      <alignment horizontal="left"/>
    </xf>
    <xf numFmtId="1" fontId="0" fillId="8" borderId="41" xfId="0" applyNumberFormat="1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1" fontId="0" fillId="8" borderId="25" xfId="0" applyNumberFormat="1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1" fontId="0" fillId="8" borderId="42" xfId="0" applyNumberFormat="1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1" fontId="0" fillId="8" borderId="61" xfId="0" applyNumberFormat="1" applyFill="1" applyBorder="1" applyAlignment="1" applyProtection="1">
      <alignment horizontal="center"/>
    </xf>
    <xf numFmtId="1" fontId="0" fillId="8" borderId="17" xfId="0" applyNumberFormat="1" applyFill="1" applyBorder="1" applyAlignment="1" applyProtection="1">
      <alignment horizontal="center"/>
    </xf>
    <xf numFmtId="1" fontId="0" fillId="8" borderId="1" xfId="0" applyNumberFormat="1" applyFill="1" applyBorder="1" applyAlignment="1" applyProtection="1">
      <alignment horizontal="center"/>
    </xf>
    <xf numFmtId="1" fontId="0" fillId="8" borderId="60" xfId="0" applyNumberFormat="1" applyFill="1" applyBorder="1" applyAlignment="1" applyProtection="1">
      <alignment horizontal="center"/>
    </xf>
    <xf numFmtId="1" fontId="5" fillId="0" borderId="0" xfId="0" applyNumberFormat="1" applyFont="1" applyAlignment="1">
      <alignment horizontal="left"/>
    </xf>
    <xf numFmtId="0" fontId="29" fillId="2" borderId="23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left"/>
    </xf>
    <xf numFmtId="0" fontId="4" fillId="3" borderId="66" xfId="0" applyFont="1" applyFill="1" applyBorder="1" applyProtection="1"/>
    <xf numFmtId="0" fontId="4" fillId="3" borderId="67" xfId="0" applyFont="1" applyFill="1" applyBorder="1" applyProtection="1"/>
    <xf numFmtId="0" fontId="4" fillId="3" borderId="68" xfId="0" applyFont="1" applyFill="1" applyBorder="1" applyProtection="1"/>
    <xf numFmtId="0" fontId="0" fillId="0" borderId="69" xfId="0" applyBorder="1" applyProtection="1"/>
    <xf numFmtId="0" fontId="0" fillId="0" borderId="0" xfId="0" applyBorder="1" applyProtection="1"/>
    <xf numFmtId="0" fontId="0" fillId="0" borderId="70" xfId="0" applyBorder="1" applyProtection="1"/>
    <xf numFmtId="0" fontId="11" fillId="0" borderId="71" xfId="0" applyFont="1" applyBorder="1" applyProtection="1"/>
    <xf numFmtId="0" fontId="0" fillId="0" borderId="72" xfId="0" applyBorder="1" applyProtection="1"/>
    <xf numFmtId="0" fontId="0" fillId="0" borderId="73" xfId="0" applyBorder="1" applyProtection="1"/>
    <xf numFmtId="0" fontId="5" fillId="0" borderId="69" xfId="0" applyFont="1" applyBorder="1" applyProtection="1"/>
    <xf numFmtId="0" fontId="5" fillId="0" borderId="0" xfId="0" applyFont="1" applyBorder="1" applyProtection="1"/>
    <xf numFmtId="0" fontId="5" fillId="0" borderId="70" xfId="0" applyFont="1" applyBorder="1" applyProtection="1"/>
    <xf numFmtId="0" fontId="3" fillId="0" borderId="69" xfId="0" applyFont="1" applyBorder="1" applyProtection="1"/>
    <xf numFmtId="0" fontId="2" fillId="0" borderId="69" xfId="0" applyFont="1" applyBorder="1" applyProtection="1"/>
    <xf numFmtId="0" fontId="0" fillId="0" borderId="74" xfId="0" applyBorder="1" applyProtection="1"/>
    <xf numFmtId="0" fontId="0" fillId="0" borderId="75" xfId="0" applyBorder="1" applyProtection="1"/>
    <xf numFmtId="0" fontId="0" fillId="0" borderId="76" xfId="0" applyBorder="1" applyProtection="1"/>
    <xf numFmtId="0" fontId="11" fillId="0" borderId="69" xfId="0" applyFont="1" applyBorder="1" applyProtection="1"/>
    <xf numFmtId="0" fontId="14" fillId="9" borderId="69" xfId="0" applyFont="1" applyFill="1" applyBorder="1" applyProtection="1"/>
    <xf numFmtId="0" fontId="15" fillId="10" borderId="0" xfId="0" applyFont="1" applyFill="1" applyBorder="1" applyProtection="1"/>
    <xf numFmtId="0" fontId="15" fillId="10" borderId="70" xfId="0" applyFont="1" applyFill="1" applyBorder="1" applyProtection="1"/>
    <xf numFmtId="0" fontId="5" fillId="0" borderId="77" xfId="0" applyFont="1" applyBorder="1" applyAlignment="1" applyProtection="1">
      <alignment horizontal="left"/>
    </xf>
    <xf numFmtId="1" fontId="0" fillId="6" borderId="5" xfId="0" applyNumberFormat="1" applyFill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left"/>
    </xf>
    <xf numFmtId="0" fontId="8" fillId="0" borderId="69" xfId="0" applyFont="1" applyBorder="1" applyProtection="1"/>
    <xf numFmtId="0" fontId="0" fillId="6" borderId="5" xfId="0" applyFill="1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</xf>
    <xf numFmtId="0" fontId="0" fillId="0" borderId="78" xfId="0" applyBorder="1" applyProtection="1"/>
    <xf numFmtId="0" fontId="5" fillId="0" borderId="0" xfId="0" applyFont="1" applyProtection="1"/>
    <xf numFmtId="0" fontId="17" fillId="0" borderId="69" xfId="0" applyFont="1" applyBorder="1" applyProtection="1"/>
    <xf numFmtId="212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70" xfId="0" applyFont="1" applyBorder="1" applyProtection="1"/>
    <xf numFmtId="204" fontId="0" fillId="4" borderId="22" xfId="0" applyNumberFormat="1" applyFill="1" applyBorder="1" applyAlignment="1" applyProtection="1">
      <alignment horizontal="center" vertical="center"/>
    </xf>
    <xf numFmtId="0" fontId="0" fillId="0" borderId="77" xfId="0" applyFill="1" applyBorder="1" applyAlignment="1" applyProtection="1">
      <alignment horizontal="left"/>
    </xf>
    <xf numFmtId="1" fontId="1" fillId="0" borderId="5" xfId="0" applyNumberFormat="1" applyFont="1" applyBorder="1" applyAlignment="1" applyProtection="1">
      <alignment horizontal="center"/>
    </xf>
    <xf numFmtId="0" fontId="1" fillId="0" borderId="0" xfId="0" applyFont="1" applyProtection="1"/>
    <xf numFmtId="11" fontId="9" fillId="4" borderId="23" xfId="0" applyNumberFormat="1" applyFont="1" applyFill="1" applyBorder="1" applyAlignment="1" applyProtection="1">
      <alignment horizontal="center" vertical="center"/>
    </xf>
    <xf numFmtId="212" fontId="0" fillId="0" borderId="0" xfId="0" applyNumberFormat="1" applyBorder="1" applyProtection="1"/>
    <xf numFmtId="0" fontId="26" fillId="0" borderId="0" xfId="0" applyFont="1" applyProtection="1"/>
    <xf numFmtId="2" fontId="0" fillId="4" borderId="41" xfId="0" applyNumberFormat="1" applyFill="1" applyBorder="1" applyAlignment="1" applyProtection="1">
      <alignment horizontal="center"/>
    </xf>
    <xf numFmtId="0" fontId="30" fillId="0" borderId="70" xfId="0" applyFont="1" applyBorder="1" applyAlignment="1" applyProtection="1">
      <alignment horizontal="center"/>
    </xf>
    <xf numFmtId="2" fontId="0" fillId="4" borderId="25" xfId="0" applyNumberFormat="1" applyFill="1" applyBorder="1" applyAlignment="1" applyProtection="1">
      <alignment horizontal="center"/>
    </xf>
    <xf numFmtId="2" fontId="0" fillId="4" borderId="65" xfId="0" applyNumberFormat="1" applyFill="1" applyBorder="1" applyAlignment="1" applyProtection="1">
      <alignment horizontal="center"/>
    </xf>
    <xf numFmtId="2" fontId="3" fillId="4" borderId="79" xfId="0" applyNumberFormat="1" applyFont="1" applyFill="1" applyBorder="1" applyAlignment="1" applyProtection="1">
      <alignment horizontal="center"/>
    </xf>
    <xf numFmtId="2" fontId="0" fillId="4" borderId="24" xfId="0" applyNumberFormat="1" applyFill="1" applyBorder="1" applyAlignment="1" applyProtection="1">
      <alignment horizontal="center"/>
    </xf>
    <xf numFmtId="0" fontId="0" fillId="0" borderId="80" xfId="0" applyBorder="1" applyProtection="1"/>
    <xf numFmtId="1" fontId="0" fillId="4" borderId="42" xfId="0" applyNumberFormat="1" applyFill="1" applyBorder="1" applyAlignment="1" applyProtection="1">
      <alignment horizontal="center"/>
    </xf>
    <xf numFmtId="0" fontId="0" fillId="0" borderId="81" xfId="0" applyBorder="1" applyProtection="1"/>
    <xf numFmtId="2" fontId="31" fillId="0" borderId="81" xfId="0" applyNumberFormat="1" applyFont="1" applyBorder="1" applyAlignment="1" applyProtection="1">
      <alignment horizontal="center"/>
    </xf>
    <xf numFmtId="0" fontId="0" fillId="0" borderId="66" xfId="0" applyBorder="1" applyProtection="1"/>
    <xf numFmtId="0" fontId="30" fillId="0" borderId="67" xfId="0" applyFont="1" applyBorder="1" applyProtection="1"/>
    <xf numFmtId="0" fontId="0" fillId="0" borderId="67" xfId="0" applyBorder="1" applyProtection="1"/>
    <xf numFmtId="0" fontId="0" fillId="0" borderId="68" xfId="0" applyBorder="1" applyProtection="1"/>
    <xf numFmtId="213" fontId="0" fillId="0" borderId="0" xfId="0" applyNumberFormat="1"/>
    <xf numFmtId="4" fontId="0" fillId="0" borderId="0" xfId="0" applyNumberFormat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1" fontId="0" fillId="2" borderId="25" xfId="0" applyNumberFormat="1" applyFill="1" applyBorder="1" applyAlignment="1">
      <alignment horizontal="center"/>
    </xf>
    <xf numFmtId="1" fontId="0" fillId="2" borderId="24" xfId="0" applyNumberFormat="1" applyFill="1" applyBorder="1" applyAlignment="1">
      <alignment horizontal="center"/>
    </xf>
    <xf numFmtId="0" fontId="26" fillId="0" borderId="0" xfId="0" applyFont="1"/>
    <xf numFmtId="204" fontId="33" fillId="0" borderId="0" xfId="0" applyNumberFormat="1" applyFont="1" applyFill="1" applyBorder="1" applyAlignment="1">
      <alignment horizontal="left"/>
    </xf>
    <xf numFmtId="3" fontId="32" fillId="6" borderId="40" xfId="0" applyNumberFormat="1" applyFont="1" applyFill="1" applyBorder="1" applyAlignment="1" applyProtection="1">
      <alignment horizontal="center" vertical="center"/>
      <protection locked="0"/>
    </xf>
    <xf numFmtId="0" fontId="19" fillId="3" borderId="3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3" fontId="9" fillId="4" borderId="4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80" xfId="0" applyBorder="1" applyAlignment="1">
      <alignment vertical="center"/>
    </xf>
    <xf numFmtId="0" fontId="2" fillId="6" borderId="4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6" borderId="41" xfId="0" applyFont="1" applyFill="1" applyBorder="1" applyAlignment="1" applyProtection="1">
      <alignment horizontal="center" vertical="center"/>
      <protection locked="0"/>
    </xf>
    <xf numFmtId="0" fontId="2" fillId="6" borderId="42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1" fontId="28" fillId="6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4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3" fontId="25" fillId="4" borderId="24" xfId="0" applyNumberFormat="1" applyFont="1" applyFill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3" fontId="25" fillId="4" borderId="25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3" fontId="25" fillId="4" borderId="42" xfId="0" applyNumberFormat="1" applyFont="1" applyFill="1" applyBorder="1" applyAlignment="1">
      <alignment horizontal="center" vertical="center"/>
    </xf>
    <xf numFmtId="2" fontId="1" fillId="4" borderId="4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51" xfId="0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" fillId="6" borderId="38" xfId="0" applyFont="1" applyFill="1" applyBorder="1" applyAlignment="1" applyProtection="1">
      <alignment vertical="center"/>
      <protection locked="0"/>
    </xf>
    <xf numFmtId="0" fontId="2" fillId="6" borderId="37" xfId="0" applyFont="1" applyFill="1" applyBorder="1" applyAlignment="1" applyProtection="1">
      <alignment vertical="center"/>
      <protection locked="0"/>
    </xf>
    <xf numFmtId="0" fontId="2" fillId="6" borderId="3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 applyProtection="1">
      <alignment vertical="center"/>
      <protection locked="0"/>
    </xf>
    <xf numFmtId="198" fontId="0" fillId="4" borderId="41" xfId="0" applyNumberFormat="1" applyFill="1" applyBorder="1" applyAlignment="1" applyProtection="1">
      <alignment horizontal="center" vertical="center"/>
    </xf>
    <xf numFmtId="0" fontId="2" fillId="6" borderId="43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14" xfId="0" applyFont="1" applyFill="1" applyBorder="1" applyAlignment="1" applyProtection="1">
      <alignment vertical="center"/>
      <protection locked="0"/>
    </xf>
    <xf numFmtId="0" fontId="2" fillId="6" borderId="54" xfId="0" applyFont="1" applyFill="1" applyBorder="1" applyAlignment="1" applyProtection="1">
      <alignment vertical="center"/>
      <protection locked="0"/>
    </xf>
    <xf numFmtId="198" fontId="0" fillId="4" borderId="25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" fillId="6" borderId="36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198" fontId="0" fillId="4" borderId="42" xfId="0" applyNumberFormat="1" applyFill="1" applyBorder="1" applyAlignment="1" applyProtection="1">
      <alignment horizontal="center" vertical="center"/>
    </xf>
    <xf numFmtId="0" fontId="29" fillId="0" borderId="3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64" xfId="0" applyFont="1" applyFill="1" applyBorder="1" applyAlignment="1" applyProtection="1">
      <alignment vertical="center"/>
      <protection locked="0"/>
    </xf>
    <xf numFmtId="0" fontId="2" fillId="6" borderId="52" xfId="0" applyFont="1" applyFill="1" applyBorder="1" applyAlignment="1" applyProtection="1">
      <alignment vertical="center"/>
      <protection locked="0"/>
    </xf>
    <xf numFmtId="198" fontId="0" fillId="4" borderId="52" xfId="0" applyNumberFormat="1" applyFill="1" applyBorder="1" applyAlignment="1" applyProtection="1">
      <alignment horizontal="center" vertical="center"/>
    </xf>
    <xf numFmtId="0" fontId="0" fillId="0" borderId="23" xfId="0" applyFill="1" applyBorder="1" applyAlignment="1">
      <alignment vertical="center"/>
    </xf>
    <xf numFmtId="0" fontId="29" fillId="0" borderId="51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center" vertical="center"/>
    </xf>
    <xf numFmtId="198" fontId="0" fillId="4" borderId="6" xfId="0" applyNumberFormat="1" applyFill="1" applyBorder="1" applyAlignment="1" applyProtection="1">
      <alignment vertical="center"/>
    </xf>
    <xf numFmtId="198" fontId="0" fillId="4" borderId="15" xfId="0" applyNumberFormat="1" applyFill="1" applyBorder="1" applyAlignment="1" applyProtection="1">
      <alignment vertical="center"/>
    </xf>
    <xf numFmtId="198" fontId="0" fillId="4" borderId="16" xfId="0" applyNumberFormat="1" applyFill="1" applyBorder="1" applyAlignment="1" applyProtection="1">
      <alignment vertical="center"/>
    </xf>
    <xf numFmtId="198" fontId="0" fillId="4" borderId="52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3" fontId="31" fillId="4" borderId="5" xfId="0" applyNumberFormat="1" applyFont="1" applyFill="1" applyBorder="1" applyAlignment="1" applyProtection="1">
      <alignment horizontal="center" vertical="center"/>
    </xf>
    <xf numFmtId="3" fontId="0" fillId="4" borderId="5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3" fontId="32" fillId="6" borderId="38" xfId="0" applyNumberFormat="1" applyFont="1" applyFill="1" applyBorder="1" applyAlignment="1" applyProtection="1">
      <alignment horizontal="center" vertical="center"/>
      <protection locked="0"/>
    </xf>
    <xf numFmtId="3" fontId="32" fillId="6" borderId="37" xfId="0" applyNumberFormat="1" applyFont="1" applyFill="1" applyBorder="1" applyAlignment="1" applyProtection="1">
      <alignment horizontal="center" vertical="center"/>
      <protection locked="0"/>
    </xf>
    <xf numFmtId="3" fontId="32" fillId="6" borderId="39" xfId="0" applyNumberFormat="1" applyFont="1" applyFill="1" applyBorder="1" applyAlignment="1" applyProtection="1">
      <alignment horizontal="center" vertical="center"/>
      <protection locked="0"/>
    </xf>
    <xf numFmtId="3" fontId="9" fillId="4" borderId="25" xfId="0" applyNumberFormat="1" applyFont="1" applyFill="1" applyBorder="1" applyAlignment="1" applyProtection="1">
      <alignment horizontal="center" vertical="center"/>
    </xf>
    <xf numFmtId="2" fontId="2" fillId="6" borderId="43" xfId="0" applyNumberFormat="1" applyFont="1" applyFill="1" applyBorder="1" applyAlignment="1" applyProtection="1">
      <alignment horizontal="center" vertical="center"/>
      <protection locked="0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2" fontId="2" fillId="6" borderId="14" xfId="0" applyNumberFormat="1" applyFont="1" applyFill="1" applyBorder="1" applyAlignment="1" applyProtection="1">
      <alignment horizontal="center" vertical="center"/>
      <protection locked="0"/>
    </xf>
    <xf numFmtId="2" fontId="0" fillId="4" borderId="25" xfId="0" applyNumberFormat="1" applyFill="1" applyBorder="1" applyAlignment="1">
      <alignment horizontal="center" vertical="center"/>
    </xf>
    <xf numFmtId="2" fontId="2" fillId="6" borderId="36" xfId="0" applyNumberFormat="1" applyFont="1" applyFill="1" applyBorder="1" applyAlignment="1" applyProtection="1">
      <alignment horizontal="center" vertical="center"/>
      <protection locked="0"/>
    </xf>
    <xf numFmtId="2" fontId="2" fillId="6" borderId="9" xfId="0" applyNumberFormat="1" applyFont="1" applyFill="1" applyBorder="1" applyAlignment="1" applyProtection="1">
      <alignment horizontal="center" vertical="center"/>
      <protection locked="0"/>
    </xf>
    <xf numFmtId="2" fontId="2" fillId="6" borderId="10" xfId="0" applyNumberFormat="1" applyFont="1" applyFill="1" applyBorder="1" applyAlignment="1" applyProtection="1">
      <alignment horizontal="center" vertical="center"/>
      <protection locked="0"/>
    </xf>
    <xf numFmtId="2" fontId="0" fillId="4" borderId="42" xfId="0" applyNumberForma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0" fillId="0" borderId="75" xfId="0" applyBorder="1" applyAlignment="1">
      <alignment horizontal="right" vertical="center"/>
    </xf>
    <xf numFmtId="0" fontId="24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0" fillId="0" borderId="72" xfId="0" applyFill="1" applyBorder="1" applyAlignment="1" applyProtection="1">
      <alignment vertical="center"/>
    </xf>
    <xf numFmtId="0" fontId="0" fillId="0" borderId="72" xfId="0" applyFill="1" applyBorder="1" applyAlignment="1">
      <alignment vertical="center"/>
    </xf>
    <xf numFmtId="0" fontId="0" fillId="0" borderId="72" xfId="0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3" fontId="26" fillId="0" borderId="0" xfId="0" applyNumberFormat="1" applyFont="1"/>
    <xf numFmtId="198" fontId="31" fillId="4" borderId="52" xfId="0" applyNumberFormat="1" applyFont="1" applyFill="1" applyBorder="1" applyAlignment="1" applyProtection="1">
      <alignment horizontal="center" vertical="center"/>
    </xf>
    <xf numFmtId="1" fontId="21" fillId="0" borderId="0" xfId="0" applyNumberFormat="1" applyFont="1" applyAlignment="1">
      <alignment horizontal="center"/>
    </xf>
    <xf numFmtId="1" fontId="34" fillId="0" borderId="0" xfId="0" applyNumberFormat="1" applyFont="1"/>
    <xf numFmtId="0" fontId="34" fillId="0" borderId="46" xfId="0" applyFont="1" applyFill="1" applyBorder="1" applyAlignment="1" applyProtection="1">
      <alignment horizontal="center"/>
    </xf>
    <xf numFmtId="0" fontId="34" fillId="0" borderId="33" xfId="0" applyFont="1" applyBorder="1" applyProtection="1"/>
    <xf numFmtId="0" fontId="34" fillId="0" borderId="51" xfId="0" applyFont="1" applyBorder="1" applyProtection="1"/>
    <xf numFmtId="0" fontId="34" fillId="0" borderId="0" xfId="0" applyFont="1" applyAlignment="1">
      <alignment horizontal="center"/>
    </xf>
    <xf numFmtId="0" fontId="34" fillId="0" borderId="0" xfId="0" applyFont="1"/>
    <xf numFmtId="1" fontId="21" fillId="0" borderId="0" xfId="0" applyNumberFormat="1" applyFont="1" applyAlignment="1" applyProtection="1">
      <alignment horizontal="center"/>
    </xf>
    <xf numFmtId="0" fontId="21" fillId="0" borderId="0" xfId="0" applyFont="1"/>
    <xf numFmtId="2" fontId="21" fillId="0" borderId="0" xfId="0" applyNumberFormat="1" applyFont="1"/>
    <xf numFmtId="2" fontId="0" fillId="2" borderId="48" xfId="0" applyNumberFormat="1" applyFill="1" applyBorder="1" applyAlignment="1">
      <alignment horizontal="center"/>
    </xf>
    <xf numFmtId="204" fontId="0" fillId="2" borderId="48" xfId="0" applyNumberFormat="1" applyFill="1" applyBorder="1" applyAlignment="1">
      <alignment horizontal="center"/>
    </xf>
    <xf numFmtId="1" fontId="0" fillId="2" borderId="48" xfId="0" applyNumberForma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Protection="1">
      <protection locked="0"/>
    </xf>
    <xf numFmtId="0" fontId="0" fillId="6" borderId="50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6" borderId="52" xfId="0" applyFill="1" applyBorder="1" applyProtection="1">
      <protection locked="0"/>
    </xf>
    <xf numFmtId="49" fontId="0" fillId="0" borderId="0" xfId="0" applyNumberFormat="1" applyAlignment="1">
      <alignment vertical="center"/>
    </xf>
    <xf numFmtId="49" fontId="8" fillId="0" borderId="0" xfId="0" applyNumberFormat="1" applyFont="1" applyAlignment="1">
      <alignment vertical="center"/>
    </xf>
    <xf numFmtId="49" fontId="0" fillId="6" borderId="46" xfId="0" applyNumberFormat="1" applyFill="1" applyBorder="1" applyAlignment="1" applyProtection="1">
      <alignment vertical="center"/>
      <protection locked="0"/>
    </xf>
    <xf numFmtId="49" fontId="0" fillId="0" borderId="47" xfId="0" applyNumberFormat="1" applyBorder="1" applyAlignment="1" applyProtection="1">
      <alignment vertical="center"/>
      <protection locked="0"/>
    </xf>
    <xf numFmtId="49" fontId="0" fillId="0" borderId="58" xfId="0" applyNumberFormat="1" applyBorder="1" applyAlignment="1" applyProtection="1">
      <alignment vertical="center"/>
      <protection locked="0"/>
    </xf>
    <xf numFmtId="0" fontId="0" fillId="0" borderId="3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6" borderId="59" xfId="0" applyNumberFormat="1" applyFill="1" applyBorder="1" applyAlignment="1" applyProtection="1">
      <alignment vertical="center"/>
      <protection locked="0"/>
    </xf>
    <xf numFmtId="49" fontId="0" fillId="0" borderId="63" xfId="0" applyNumberFormat="1" applyBorder="1" applyAlignment="1" applyProtection="1">
      <alignment vertical="center"/>
      <protection locked="0"/>
    </xf>
    <xf numFmtId="49" fontId="0" fillId="0" borderId="54" xfId="0" applyNumberFormat="1" applyBorder="1" applyAlignment="1" applyProtection="1">
      <alignment vertical="center"/>
      <protection locked="0"/>
    </xf>
    <xf numFmtId="49" fontId="20" fillId="6" borderId="32" xfId="0" applyNumberFormat="1" applyFont="1" applyFill="1" applyBorder="1" applyAlignment="1" applyProtection="1">
      <alignment horizontal="left" vertical="center"/>
      <protection locked="0"/>
    </xf>
    <xf numFmtId="49" fontId="3" fillId="6" borderId="2" xfId="0" applyNumberFormat="1" applyFont="1" applyFill="1" applyBorder="1" applyAlignment="1" applyProtection="1">
      <alignment horizontal="left" vertical="center"/>
      <protection locked="0"/>
    </xf>
    <xf numFmtId="49" fontId="3" fillId="6" borderId="4" xfId="0" applyNumberFormat="1" applyFont="1" applyFill="1" applyBorder="1" applyAlignment="1" applyProtection="1">
      <alignment horizontal="left" vertical="center"/>
      <protection locked="0"/>
    </xf>
    <xf numFmtId="49" fontId="0" fillId="6" borderId="44" xfId="0" applyNumberFormat="1" applyFill="1" applyBorder="1" applyAlignment="1" applyProtection="1">
      <alignment vertical="center"/>
      <protection locked="0"/>
    </xf>
    <xf numFmtId="49" fontId="0" fillId="0" borderId="45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0" fillId="6" borderId="32" xfId="0" applyNumberFormat="1" applyFill="1" applyBorder="1" applyAlignment="1" applyProtection="1">
      <alignment horizontal="left" vertical="center"/>
      <protection locked="0"/>
    </xf>
    <xf numFmtId="49" fontId="0" fillId="6" borderId="2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horizontal="left" vertical="center"/>
      <protection locked="0"/>
    </xf>
    <xf numFmtId="0" fontId="0" fillId="6" borderId="49" xfId="0" applyFill="1" applyBorder="1" applyAlignment="1" applyProtection="1">
      <protection locked="0"/>
    </xf>
    <xf numFmtId="0" fontId="0" fillId="6" borderId="0" xfId="0" applyFill="1" applyBorder="1" applyAlignment="1" applyProtection="1">
      <protection locked="0"/>
    </xf>
    <xf numFmtId="0" fontId="0" fillId="6" borderId="51" xfId="0" applyFill="1" applyBorder="1" applyAlignment="1" applyProtection="1">
      <protection locked="0"/>
    </xf>
    <xf numFmtId="0" fontId="0" fillId="6" borderId="31" xfId="0" applyFill="1" applyBorder="1" applyAlignment="1" applyProtection="1">
      <protection locked="0"/>
    </xf>
    <xf numFmtId="49" fontId="20" fillId="2" borderId="32" xfId="0" applyNumberFormat="1" applyFont="1" applyFill="1" applyBorder="1" applyAlignment="1" applyProtection="1">
      <alignment horizontal="left"/>
    </xf>
    <xf numFmtId="49" fontId="3" fillId="2" borderId="2" xfId="0" applyNumberFormat="1" applyFont="1" applyFill="1" applyBorder="1" applyAlignment="1" applyProtection="1">
      <alignment horizontal="left"/>
    </xf>
    <xf numFmtId="49" fontId="3" fillId="2" borderId="4" xfId="0" applyNumberFormat="1" applyFont="1" applyFill="1" applyBorder="1" applyAlignment="1" applyProtection="1">
      <alignment horizontal="left"/>
    </xf>
    <xf numFmtId="0" fontId="0" fillId="0" borderId="0" xfId="0"/>
    <xf numFmtId="0" fontId="0" fillId="0" borderId="0" xfId="0" applyAlignment="1"/>
    <xf numFmtId="204" fontId="0" fillId="6" borderId="33" xfId="0" applyNumberForma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34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5">
    <dxf>
      <font>
        <condense val="0"/>
        <extend val="0"/>
        <color indexed="11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39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4"/>
    <pageSetUpPr fitToPage="1"/>
  </sheetPr>
  <dimension ref="A1:AD78"/>
  <sheetViews>
    <sheetView showGridLines="0" tabSelected="1" topLeftCell="A4" workbookViewId="0">
      <selection activeCell="E16" sqref="E16:M16"/>
    </sheetView>
  </sheetViews>
  <sheetFormatPr defaultColWidth="9.109375" defaultRowHeight="13.2" x14ac:dyDescent="0.25"/>
  <cols>
    <col min="1" max="1" width="13.109375" style="434" customWidth="1"/>
    <col min="2" max="2" width="5.33203125" style="434" customWidth="1"/>
    <col min="3" max="3" width="3.33203125" style="434" customWidth="1"/>
    <col min="4" max="15" width="5.6640625" style="434" customWidth="1"/>
    <col min="16" max="16" width="7.6640625" style="434" customWidth="1"/>
    <col min="17" max="17" width="5.6640625" style="434" customWidth="1"/>
    <col min="18" max="18" width="8.6640625" style="434" customWidth="1"/>
    <col min="19" max="31" width="5.6640625" style="434" customWidth="1"/>
    <col min="32" max="16384" width="9.109375" style="434"/>
  </cols>
  <sheetData>
    <row r="1" spans="1:16" ht="16.2" thickBot="1" x14ac:dyDescent="0.3">
      <c r="A1" s="430" t="s">
        <v>171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2"/>
      <c r="O1" s="433"/>
    </row>
    <row r="2" spans="1:16" x14ac:dyDescent="0.25">
      <c r="A2" s="435" t="s">
        <v>186</v>
      </c>
      <c r="B2" s="435"/>
      <c r="C2" s="436"/>
      <c r="D2" s="436"/>
      <c r="E2" s="436"/>
      <c r="F2" s="436"/>
      <c r="G2" s="436"/>
      <c r="H2" s="437" t="s">
        <v>185</v>
      </c>
      <c r="I2" s="438"/>
      <c r="J2" s="438"/>
      <c r="K2" s="438"/>
      <c r="L2" s="438"/>
      <c r="M2" s="438"/>
      <c r="N2" s="439" t="s">
        <v>195</v>
      </c>
      <c r="O2" s="440"/>
    </row>
    <row r="3" spans="1:16" ht="13.8" thickBot="1" x14ac:dyDescent="0.3">
      <c r="H3" s="441"/>
      <c r="L3" s="440"/>
      <c r="M3" s="440"/>
      <c r="N3" s="442" t="s">
        <v>187</v>
      </c>
    </row>
    <row r="4" spans="1:16" ht="16.2" thickBot="1" x14ac:dyDescent="0.3">
      <c r="A4" s="443" t="s">
        <v>160</v>
      </c>
      <c r="B4" s="443"/>
      <c r="D4" s="581" t="s">
        <v>265</v>
      </c>
      <c r="E4" s="582"/>
      <c r="F4" s="583"/>
      <c r="H4" s="434" t="s">
        <v>156</v>
      </c>
      <c r="M4" s="429">
        <v>419</v>
      </c>
      <c r="N4" s="434" t="s">
        <v>166</v>
      </c>
    </row>
    <row r="5" spans="1:16" ht="13.8" thickBot="1" x14ac:dyDescent="0.3">
      <c r="A5" s="587" t="str">
        <f>IF(F10&lt;7,"Linear Transformation is not recommended","")</f>
        <v>Linear Transformation is not recommended</v>
      </c>
      <c r="B5" s="588"/>
      <c r="C5" s="588"/>
      <c r="D5" s="588"/>
      <c r="E5" s="588"/>
      <c r="F5" s="588"/>
      <c r="G5" s="588"/>
      <c r="H5" s="434" t="s">
        <v>206</v>
      </c>
      <c r="M5" s="444">
        <f>IF(M7=9,P58,P52)</f>
        <v>245</v>
      </c>
      <c r="N5" s="445" t="str">
        <f>IF(M5&gt;M4+0.5,"   INPUT ERROR !!","")</f>
        <v/>
      </c>
    </row>
    <row r="6" spans="1:16" ht="13.8" thickBot="1" x14ac:dyDescent="0.3">
      <c r="A6" s="587" t="str">
        <f>IF(F10&lt;7,"in case of scales with &lt; 7 possible ratings. ","")</f>
        <v xml:space="preserve">in case of scales with &lt; 7 possible ratings. </v>
      </c>
      <c r="B6" s="588"/>
      <c r="C6" s="588"/>
      <c r="D6" s="588"/>
      <c r="E6" s="588"/>
      <c r="F6" s="588"/>
      <c r="G6" s="440"/>
    </row>
    <row r="7" spans="1:16" ht="13.8" thickBot="1" x14ac:dyDescent="0.3">
      <c r="A7" s="446" t="s">
        <v>157</v>
      </c>
      <c r="B7" s="446"/>
      <c r="F7" s="447"/>
      <c r="H7" s="448" t="s">
        <v>1</v>
      </c>
      <c r="I7" s="448"/>
      <c r="J7" s="448"/>
      <c r="M7" s="449">
        <v>1</v>
      </c>
      <c r="N7" s="450" t="str">
        <f>IF(OR(M7=1,M7=2,M7=3,M7=4,M7=9),"  ","INPUT ERROR !!")</f>
        <v xml:space="preserve">  </v>
      </c>
      <c r="O7" s="440"/>
    </row>
    <row r="8" spans="1:16" x14ac:dyDescent="0.25">
      <c r="A8" s="434" t="s">
        <v>158</v>
      </c>
      <c r="F8" s="451">
        <v>3</v>
      </c>
      <c r="H8" s="434" t="s">
        <v>17</v>
      </c>
      <c r="N8" s="440"/>
      <c r="O8" s="440"/>
    </row>
    <row r="9" spans="1:16" ht="13.8" thickBot="1" x14ac:dyDescent="0.3">
      <c r="A9" s="434" t="s">
        <v>159</v>
      </c>
      <c r="F9" s="452">
        <v>1</v>
      </c>
      <c r="H9" s="434" t="s">
        <v>5</v>
      </c>
      <c r="N9" s="440"/>
      <c r="O9" s="440"/>
    </row>
    <row r="10" spans="1:16" ht="13.8" thickBot="1" x14ac:dyDescent="0.3">
      <c r="A10" s="434" t="s">
        <v>170</v>
      </c>
      <c r="F10" s="453">
        <f>F8-F9+1</f>
        <v>3</v>
      </c>
      <c r="H10" s="440" t="s">
        <v>4</v>
      </c>
      <c r="I10" s="440"/>
      <c r="J10" s="440"/>
      <c r="K10" s="440"/>
      <c r="L10" s="440"/>
      <c r="M10" s="440"/>
      <c r="N10" s="440"/>
    </row>
    <row r="11" spans="1:16" ht="13.8" thickBot="1" x14ac:dyDescent="0.3">
      <c r="A11" s="434" t="s">
        <v>254</v>
      </c>
      <c r="F11" s="454">
        <v>0</v>
      </c>
      <c r="H11" s="440" t="s">
        <v>6</v>
      </c>
      <c r="I11" s="440"/>
      <c r="J11" s="440"/>
      <c r="K11" s="440"/>
      <c r="L11" s="440"/>
      <c r="M11" s="440"/>
      <c r="N11" s="440"/>
    </row>
    <row r="12" spans="1:16" x14ac:dyDescent="0.25">
      <c r="F12" s="455" t="str">
        <f>IF(OR(F8&gt;12,F9&lt;0,F8&lt;F9,F8=F9),"INPUT ERROR !!","")</f>
        <v/>
      </c>
      <c r="H12" s="440" t="s">
        <v>113</v>
      </c>
      <c r="I12" s="440"/>
      <c r="J12" s="440"/>
      <c r="K12" s="440"/>
      <c r="L12" s="440"/>
      <c r="M12" s="440"/>
      <c r="N12" s="440"/>
    </row>
    <row r="13" spans="1:16" ht="13.8" thickBot="1" x14ac:dyDescent="0.3">
      <c r="A13" s="446" t="s">
        <v>167</v>
      </c>
      <c r="B13" s="446"/>
      <c r="H13" s="456"/>
    </row>
    <row r="14" spans="1:16" ht="13.8" thickBot="1" x14ac:dyDescent="0.3">
      <c r="A14" s="457" t="s">
        <v>161</v>
      </c>
      <c r="B14" s="457"/>
      <c r="F14" s="449">
        <v>4</v>
      </c>
      <c r="G14" s="434" t="s">
        <v>168</v>
      </c>
      <c r="P14" s="458"/>
    </row>
    <row r="15" spans="1:16" ht="13.8" thickBot="1" x14ac:dyDescent="0.3">
      <c r="A15" s="457"/>
      <c r="B15" s="457"/>
      <c r="E15" s="523"/>
      <c r="F15" s="564"/>
      <c r="G15" s="523"/>
      <c r="P15" s="458" t="s">
        <v>259</v>
      </c>
    </row>
    <row r="16" spans="1:16" ht="13.8" thickBot="1" x14ac:dyDescent="0.3">
      <c r="A16" s="457"/>
      <c r="B16" s="457"/>
      <c r="D16" s="458" t="s">
        <v>257</v>
      </c>
      <c r="E16" s="589" t="s">
        <v>13</v>
      </c>
      <c r="F16" s="590"/>
      <c r="G16" s="590"/>
      <c r="H16" s="590"/>
      <c r="I16" s="590"/>
      <c r="J16" s="590"/>
      <c r="K16" s="590"/>
      <c r="L16" s="590"/>
      <c r="M16" s="591"/>
      <c r="P16" s="458" t="s">
        <v>258</v>
      </c>
    </row>
    <row r="17" spans="1:17" ht="13.8" thickBot="1" x14ac:dyDescent="0.3">
      <c r="E17" s="569"/>
      <c r="F17" s="570" t="str">
        <f>IF(OR(F14&lt;2,F14&gt;12),"INPUT  ERROR !!",IF(F14=2,"Use programme for dichotomous correlates !!",""))</f>
        <v/>
      </c>
      <c r="G17" s="569"/>
      <c r="H17" s="569"/>
      <c r="I17" s="569"/>
      <c r="J17" s="569"/>
      <c r="K17" s="569"/>
      <c r="L17" s="569"/>
      <c r="M17" s="569"/>
      <c r="O17" s="459" t="s">
        <v>180</v>
      </c>
      <c r="P17" s="459" t="s">
        <v>181</v>
      </c>
    </row>
    <row r="18" spans="1:17" x14ac:dyDescent="0.25">
      <c r="A18" s="434" t="s">
        <v>162</v>
      </c>
      <c r="C18" s="460">
        <v>1</v>
      </c>
      <c r="D18" s="460" t="s">
        <v>142</v>
      </c>
      <c r="E18" s="584" t="s">
        <v>264</v>
      </c>
      <c r="F18" s="585"/>
      <c r="G18" s="585"/>
      <c r="H18" s="585"/>
      <c r="I18" s="585"/>
      <c r="J18" s="585"/>
      <c r="K18" s="585"/>
      <c r="L18" s="585"/>
      <c r="M18" s="586"/>
      <c r="O18" s="461">
        <f>IF(C18&lt;($F$14+0.1),Means!E59," ")</f>
        <v>65</v>
      </c>
      <c r="P18" s="462">
        <f>IF(C18&lt;($F$14+0.1),Means!C59," ")</f>
        <v>1.6159846153846149</v>
      </c>
    </row>
    <row r="19" spans="1:17" x14ac:dyDescent="0.25">
      <c r="C19" s="463">
        <v>2</v>
      </c>
      <c r="D19" s="463" t="s">
        <v>143</v>
      </c>
      <c r="E19" s="578" t="s">
        <v>267</v>
      </c>
      <c r="F19" s="579"/>
      <c r="G19" s="579"/>
      <c r="H19" s="579"/>
      <c r="I19" s="579"/>
      <c r="J19" s="579"/>
      <c r="K19" s="579"/>
      <c r="L19" s="579"/>
      <c r="M19" s="580"/>
      <c r="O19" s="464">
        <f>IF(C19&lt;($F$14+0.1),Means!E58," ")</f>
        <v>54</v>
      </c>
      <c r="P19" s="465">
        <f>IF(C19&lt;($F$14+0.1),Means!C58," ")</f>
        <v>3.796796296296296</v>
      </c>
    </row>
    <row r="20" spans="1:17" x14ac:dyDescent="0.25">
      <c r="C20" s="463">
        <v>3</v>
      </c>
      <c r="D20" s="463" t="s">
        <v>144</v>
      </c>
      <c r="E20" s="578" t="s">
        <v>263</v>
      </c>
      <c r="F20" s="579"/>
      <c r="G20" s="579"/>
      <c r="H20" s="579"/>
      <c r="I20" s="579"/>
      <c r="J20" s="579"/>
      <c r="K20" s="579"/>
      <c r="L20" s="579"/>
      <c r="M20" s="580"/>
      <c r="O20" s="464">
        <f>IF(C20&lt;($F$14+0.1),Means!E57," ")</f>
        <v>53</v>
      </c>
      <c r="P20" s="465">
        <f>IF(C20&lt;($F$14+0.1),Means!C57," ")</f>
        <v>6.132475471698112</v>
      </c>
    </row>
    <row r="21" spans="1:17" x14ac:dyDescent="0.25">
      <c r="C21" s="463">
        <v>4</v>
      </c>
      <c r="D21" s="463" t="s">
        <v>145</v>
      </c>
      <c r="E21" s="578" t="s">
        <v>266</v>
      </c>
      <c r="F21" s="579"/>
      <c r="G21" s="579"/>
      <c r="H21" s="579"/>
      <c r="I21" s="579"/>
      <c r="J21" s="579"/>
      <c r="K21" s="579"/>
      <c r="L21" s="579"/>
      <c r="M21" s="580"/>
      <c r="O21" s="464">
        <f>IF(C21&lt;($F$14+0.1),Means!E56," ")</f>
        <v>73</v>
      </c>
      <c r="P21" s="465">
        <f>IF(C21&lt;($F$14+0.1),Means!C56," ")</f>
        <v>6.2331767123287678</v>
      </c>
    </row>
    <row r="22" spans="1:17" x14ac:dyDescent="0.25">
      <c r="C22" s="463">
        <v>5</v>
      </c>
      <c r="D22" s="463" t="s">
        <v>146</v>
      </c>
      <c r="E22" s="578"/>
      <c r="F22" s="579"/>
      <c r="G22" s="579"/>
      <c r="H22" s="579"/>
      <c r="I22" s="579"/>
      <c r="J22" s="579"/>
      <c r="K22" s="579"/>
      <c r="L22" s="579"/>
      <c r="M22" s="580"/>
      <c r="O22" s="464" t="str">
        <f>IF(C22&lt;($F$14+0.1),Means!E55," ")</f>
        <v xml:space="preserve"> </v>
      </c>
      <c r="P22" s="465" t="str">
        <f>IF(C22&lt;($F$14+0.1),Means!C55," ")</f>
        <v xml:space="preserve"> </v>
      </c>
    </row>
    <row r="23" spans="1:17" x14ac:dyDescent="0.25">
      <c r="C23" s="463">
        <v>6</v>
      </c>
      <c r="D23" s="463" t="s">
        <v>75</v>
      </c>
      <c r="E23" s="578"/>
      <c r="F23" s="579"/>
      <c r="G23" s="579"/>
      <c r="H23" s="579"/>
      <c r="I23" s="579"/>
      <c r="J23" s="579"/>
      <c r="K23" s="579"/>
      <c r="L23" s="579"/>
      <c r="M23" s="580"/>
      <c r="O23" s="464" t="str">
        <f>IF(C23&lt;($F$14+0.1),Means!E54," ")</f>
        <v xml:space="preserve"> </v>
      </c>
      <c r="P23" s="465" t="str">
        <f>IF(C23&lt;($F$14+0.1),Means!C54," ")</f>
        <v xml:space="preserve"> </v>
      </c>
    </row>
    <row r="24" spans="1:17" x14ac:dyDescent="0.25">
      <c r="C24" s="463">
        <v>7</v>
      </c>
      <c r="D24" s="463" t="s">
        <v>147</v>
      </c>
      <c r="E24" s="578"/>
      <c r="F24" s="579"/>
      <c r="G24" s="579"/>
      <c r="H24" s="579"/>
      <c r="I24" s="579"/>
      <c r="J24" s="579"/>
      <c r="K24" s="579"/>
      <c r="L24" s="579"/>
      <c r="M24" s="580"/>
      <c r="O24" s="464" t="str">
        <f>IF(C24&lt;($F$14+0.1),Means!E53," ")</f>
        <v xml:space="preserve"> </v>
      </c>
      <c r="P24" s="465" t="str">
        <f>IF(C24&lt;($F$14+0.1),Means!C53," ")</f>
        <v xml:space="preserve"> </v>
      </c>
    </row>
    <row r="25" spans="1:17" x14ac:dyDescent="0.25">
      <c r="C25" s="463">
        <v>8</v>
      </c>
      <c r="D25" s="463" t="s">
        <v>148</v>
      </c>
      <c r="E25" s="578"/>
      <c r="F25" s="579"/>
      <c r="G25" s="579"/>
      <c r="H25" s="579"/>
      <c r="I25" s="579"/>
      <c r="J25" s="579"/>
      <c r="K25" s="579"/>
      <c r="L25" s="579"/>
      <c r="M25" s="580"/>
      <c r="O25" s="464" t="str">
        <f>IF(C25&lt;($F$14+0.1),Means!E52," ")</f>
        <v xml:space="preserve"> </v>
      </c>
      <c r="P25" s="465" t="str">
        <f>IF(C25&lt;($F$14+0.1),Means!C52," ")</f>
        <v xml:space="preserve"> </v>
      </c>
    </row>
    <row r="26" spans="1:17" x14ac:dyDescent="0.25">
      <c r="C26" s="463">
        <v>9</v>
      </c>
      <c r="D26" s="463" t="s">
        <v>149</v>
      </c>
      <c r="E26" s="578"/>
      <c r="F26" s="579"/>
      <c r="G26" s="579"/>
      <c r="H26" s="579"/>
      <c r="I26" s="579"/>
      <c r="J26" s="579"/>
      <c r="K26" s="579"/>
      <c r="L26" s="579"/>
      <c r="M26" s="580"/>
      <c r="O26" s="464" t="str">
        <f>IF(C26&lt;($F$14+0.1),Means!E51," ")</f>
        <v xml:space="preserve"> </v>
      </c>
      <c r="P26" s="465" t="str">
        <f>IF(C26&lt;($F$14+0.1),Means!C51," ")</f>
        <v xml:space="preserve"> </v>
      </c>
    </row>
    <row r="27" spans="1:17" x14ac:dyDescent="0.25">
      <c r="C27" s="463">
        <v>10</v>
      </c>
      <c r="D27" s="463" t="s">
        <v>150</v>
      </c>
      <c r="E27" s="578"/>
      <c r="F27" s="579"/>
      <c r="G27" s="579"/>
      <c r="H27" s="579"/>
      <c r="I27" s="579"/>
      <c r="J27" s="579"/>
      <c r="K27" s="579"/>
      <c r="L27" s="579"/>
      <c r="M27" s="580"/>
      <c r="O27" s="464" t="str">
        <f>IF(C27&lt;($F$14+0.1),Means!E50," ")</f>
        <v xml:space="preserve"> </v>
      </c>
      <c r="P27" s="465" t="str">
        <f>IF(C27&lt;($F$14+0.1),Means!C50," ")</f>
        <v xml:space="preserve"> </v>
      </c>
    </row>
    <row r="28" spans="1:17" x14ac:dyDescent="0.25">
      <c r="C28" s="463">
        <v>11</v>
      </c>
      <c r="D28" s="463" t="s">
        <v>151</v>
      </c>
      <c r="E28" s="578"/>
      <c r="F28" s="579"/>
      <c r="G28" s="579"/>
      <c r="H28" s="579"/>
      <c r="I28" s="579"/>
      <c r="J28" s="579"/>
      <c r="K28" s="579"/>
      <c r="L28" s="579"/>
      <c r="M28" s="580"/>
      <c r="O28" s="464" t="str">
        <f>IF(C28&lt;($F$14+0.1),Means!E49," ")</f>
        <v xml:space="preserve"> </v>
      </c>
      <c r="P28" s="465" t="str">
        <f>IF(C28&lt;($F$14+0.1),Means!C49," ")</f>
        <v xml:space="preserve"> </v>
      </c>
    </row>
    <row r="29" spans="1:17" ht="13.8" thickBot="1" x14ac:dyDescent="0.3">
      <c r="C29" s="466">
        <v>12</v>
      </c>
      <c r="D29" s="466" t="s">
        <v>152</v>
      </c>
      <c r="E29" s="571"/>
      <c r="F29" s="572"/>
      <c r="G29" s="572"/>
      <c r="H29" s="572"/>
      <c r="I29" s="572"/>
      <c r="J29" s="572"/>
      <c r="K29" s="572"/>
      <c r="L29" s="572"/>
      <c r="M29" s="573"/>
      <c r="O29" s="467" t="str">
        <f>IF(C29&lt;($F$14+0.1),Means!E48," ")</f>
        <v xml:space="preserve"> </v>
      </c>
      <c r="P29" s="468" t="str">
        <f>IF(C29&lt;($F$14+0.1),Means!C48," ")</f>
        <v xml:space="preserve"> </v>
      </c>
    </row>
    <row r="31" spans="1:17" x14ac:dyDescent="0.25">
      <c r="A31" s="469" t="s">
        <v>163</v>
      </c>
      <c r="B31" s="469"/>
      <c r="L31" s="434" t="s">
        <v>164</v>
      </c>
    </row>
    <row r="32" spans="1:17" x14ac:dyDescent="0.25">
      <c r="D32" s="440"/>
      <c r="E32" s="440"/>
      <c r="F32" s="470" t="s">
        <v>15</v>
      </c>
      <c r="G32" s="471" t="s">
        <v>16</v>
      </c>
      <c r="H32" s="440"/>
      <c r="I32" s="440"/>
      <c r="J32" s="440"/>
      <c r="K32" s="440"/>
      <c r="L32" s="440"/>
      <c r="M32" s="440"/>
      <c r="N32" s="440"/>
      <c r="O32" s="440"/>
      <c r="P32" s="440"/>
      <c r="Q32" s="440"/>
    </row>
    <row r="33" spans="1:17" x14ac:dyDescent="0.25">
      <c r="B33" s="445" t="str">
        <f>IF(M7=9,"IGNORE THIS TABLE !!","   ")</f>
        <v xml:space="preserve">   </v>
      </c>
    </row>
    <row r="34" spans="1:17" ht="13.8" thickBot="1" x14ac:dyDescent="0.3">
      <c r="C34" s="434" t="s">
        <v>2</v>
      </c>
      <c r="H34" s="472" t="s">
        <v>103</v>
      </c>
      <c r="I34" s="473"/>
      <c r="J34" s="473"/>
      <c r="K34" s="473"/>
    </row>
    <row r="35" spans="1:17" ht="13.8" thickBot="1" x14ac:dyDescent="0.3">
      <c r="B35" s="474"/>
      <c r="C35" s="474"/>
      <c r="D35" s="475">
        <v>1</v>
      </c>
      <c r="E35" s="476">
        <f t="shared" ref="E35:O35" si="0">D35+1</f>
        <v>2</v>
      </c>
      <c r="F35" s="476">
        <f t="shared" si="0"/>
        <v>3</v>
      </c>
      <c r="G35" s="476">
        <f t="shared" si="0"/>
        <v>4</v>
      </c>
      <c r="H35" s="476">
        <f t="shared" si="0"/>
        <v>5</v>
      </c>
      <c r="I35" s="476">
        <f t="shared" si="0"/>
        <v>6</v>
      </c>
      <c r="J35" s="476">
        <f t="shared" si="0"/>
        <v>7</v>
      </c>
      <c r="K35" s="476">
        <f t="shared" si="0"/>
        <v>8</v>
      </c>
      <c r="L35" s="476">
        <f t="shared" si="0"/>
        <v>9</v>
      </c>
      <c r="M35" s="476">
        <f t="shared" si="0"/>
        <v>10</v>
      </c>
      <c r="N35" s="476">
        <f t="shared" si="0"/>
        <v>11</v>
      </c>
      <c r="O35" s="477">
        <f t="shared" si="0"/>
        <v>12</v>
      </c>
      <c r="P35" s="574" t="str">
        <f>IF(M7=3,"ENTER SUM","SUM")</f>
        <v>SUM</v>
      </c>
      <c r="Q35" s="575"/>
    </row>
    <row r="36" spans="1:17" ht="13.8" thickBot="1" x14ac:dyDescent="0.3">
      <c r="B36" s="478" t="s">
        <v>199</v>
      </c>
      <c r="C36" s="478"/>
      <c r="D36" s="479" t="s">
        <v>142</v>
      </c>
      <c r="E36" s="480" t="s">
        <v>143</v>
      </c>
      <c r="F36" s="480" t="s">
        <v>144</v>
      </c>
      <c r="G36" s="480" t="s">
        <v>145</v>
      </c>
      <c r="H36" s="480" t="s">
        <v>146</v>
      </c>
      <c r="I36" s="480" t="s">
        <v>75</v>
      </c>
      <c r="J36" s="480" t="s">
        <v>147</v>
      </c>
      <c r="K36" s="480" t="s">
        <v>148</v>
      </c>
      <c r="L36" s="480" t="s">
        <v>149</v>
      </c>
      <c r="M36" s="480" t="s">
        <v>150</v>
      </c>
      <c r="N36" s="480" t="s">
        <v>151</v>
      </c>
      <c r="O36" s="481" t="s">
        <v>152</v>
      </c>
      <c r="P36" s="482" t="s">
        <v>7</v>
      </c>
      <c r="Q36" s="482" t="s">
        <v>8</v>
      </c>
    </row>
    <row r="37" spans="1:17" x14ac:dyDescent="0.25">
      <c r="A37" s="483" t="s">
        <v>10</v>
      </c>
      <c r="B37" s="484" t="str">
        <f t="shared" ref="B37:B47" si="1">IF($M$7&lt;5,IF(F$11=1,IF(AND(B$48-C37+1.5&gt;F$9,B$48-C37+0.5&lt;F$8,$M$7&lt;5),B$48-C37+1," "),IF(AND(B$48+C37-0.5&gt;F$9,B$48+C37-1.5&lt;F$8,$M$7&lt;5),B$48+C37-1,"  ")),"  ")</f>
        <v xml:space="preserve">  </v>
      </c>
      <c r="C37" s="485">
        <v>12</v>
      </c>
      <c r="D37" s="486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8"/>
      <c r="P37" s="489"/>
      <c r="Q37" s="490" t="str">
        <f t="shared" ref="Q37:Q48" si="2">IF(AND($M$7=3,C37-$F$10&lt;0.5),SUM(D37:O37),"")</f>
        <v/>
      </c>
    </row>
    <row r="38" spans="1:17" x14ac:dyDescent="0.25">
      <c r="A38" s="483" t="s">
        <v>11</v>
      </c>
      <c r="B38" s="484" t="str">
        <f t="shared" si="1"/>
        <v xml:space="preserve">  </v>
      </c>
      <c r="C38" s="485">
        <v>11</v>
      </c>
      <c r="D38" s="491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3"/>
      <c r="P38" s="494"/>
      <c r="Q38" s="495" t="str">
        <f t="shared" si="2"/>
        <v/>
      </c>
    </row>
    <row r="39" spans="1:17" x14ac:dyDescent="0.25">
      <c r="B39" s="484" t="str">
        <f t="shared" si="1"/>
        <v xml:space="preserve">  </v>
      </c>
      <c r="C39" s="485">
        <v>10</v>
      </c>
      <c r="D39" s="491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3"/>
      <c r="P39" s="494"/>
      <c r="Q39" s="495" t="str">
        <f t="shared" si="2"/>
        <v/>
      </c>
    </row>
    <row r="40" spans="1:17" x14ac:dyDescent="0.25">
      <c r="A40" s="496" t="s">
        <v>47</v>
      </c>
      <c r="B40" s="484" t="str">
        <f t="shared" si="1"/>
        <v xml:space="preserve">  </v>
      </c>
      <c r="C40" s="485">
        <v>9</v>
      </c>
      <c r="D40" s="491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3"/>
      <c r="P40" s="494"/>
      <c r="Q40" s="495" t="str">
        <f t="shared" si="2"/>
        <v/>
      </c>
    </row>
    <row r="41" spans="1:17" x14ac:dyDescent="0.25">
      <c r="A41" s="496" t="s">
        <v>46</v>
      </c>
      <c r="B41" s="484" t="str">
        <f t="shared" si="1"/>
        <v xml:space="preserve">  </v>
      </c>
      <c r="C41" s="485">
        <v>8</v>
      </c>
      <c r="D41" s="491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3"/>
      <c r="P41" s="494"/>
      <c r="Q41" s="495" t="str">
        <f t="shared" si="2"/>
        <v/>
      </c>
    </row>
    <row r="42" spans="1:17" x14ac:dyDescent="0.25">
      <c r="A42" s="497" t="s">
        <v>13</v>
      </c>
      <c r="B42" s="484" t="str">
        <f t="shared" si="1"/>
        <v xml:space="preserve">  </v>
      </c>
      <c r="C42" s="485">
        <v>7</v>
      </c>
      <c r="D42" s="491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3"/>
      <c r="P42" s="494"/>
      <c r="Q42" s="495" t="str">
        <f t="shared" si="2"/>
        <v/>
      </c>
    </row>
    <row r="43" spans="1:17" x14ac:dyDescent="0.25">
      <c r="A43" s="496" t="s">
        <v>46</v>
      </c>
      <c r="B43" s="484" t="str">
        <f t="shared" si="1"/>
        <v xml:space="preserve">  </v>
      </c>
      <c r="C43" s="485">
        <v>6</v>
      </c>
      <c r="D43" s="491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3"/>
      <c r="P43" s="494"/>
      <c r="Q43" s="495" t="str">
        <f t="shared" si="2"/>
        <v/>
      </c>
    </row>
    <row r="44" spans="1:17" x14ac:dyDescent="0.25">
      <c r="A44" s="496" t="s">
        <v>46</v>
      </c>
      <c r="B44" s="484" t="str">
        <f t="shared" si="1"/>
        <v xml:space="preserve">  </v>
      </c>
      <c r="C44" s="485">
        <v>5</v>
      </c>
      <c r="D44" s="491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3"/>
      <c r="P44" s="494"/>
      <c r="Q44" s="495" t="str">
        <f t="shared" si="2"/>
        <v/>
      </c>
    </row>
    <row r="45" spans="1:17" x14ac:dyDescent="0.25">
      <c r="A45" s="496" t="s">
        <v>47</v>
      </c>
      <c r="B45" s="484" t="str">
        <f t="shared" si="1"/>
        <v xml:space="preserve">  </v>
      </c>
      <c r="C45" s="485">
        <v>4</v>
      </c>
      <c r="D45" s="491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3"/>
      <c r="P45" s="494"/>
      <c r="Q45" s="495" t="str">
        <f t="shared" si="2"/>
        <v/>
      </c>
    </row>
    <row r="46" spans="1:17" x14ac:dyDescent="0.25">
      <c r="A46" s="496"/>
      <c r="B46" s="484">
        <f t="shared" si="1"/>
        <v>3</v>
      </c>
      <c r="C46" s="485">
        <v>3</v>
      </c>
      <c r="D46" s="491">
        <v>1</v>
      </c>
      <c r="E46" s="492">
        <v>11</v>
      </c>
      <c r="F46" s="492">
        <v>19</v>
      </c>
      <c r="G46" s="492">
        <v>25</v>
      </c>
      <c r="H46" s="492"/>
      <c r="I46" s="492"/>
      <c r="J46" s="492"/>
      <c r="K46" s="492"/>
      <c r="L46" s="491"/>
      <c r="M46" s="492"/>
      <c r="N46" s="492"/>
      <c r="O46" s="493"/>
      <c r="P46" s="494">
        <f>SUM(D46:G46)</f>
        <v>56</v>
      </c>
      <c r="Q46" s="495" t="str">
        <f t="shared" si="2"/>
        <v/>
      </c>
    </row>
    <row r="47" spans="1:17" x14ac:dyDescent="0.25">
      <c r="A47" s="483" t="s">
        <v>10</v>
      </c>
      <c r="B47" s="484">
        <f t="shared" si="1"/>
        <v>2</v>
      </c>
      <c r="C47" s="485">
        <v>2</v>
      </c>
      <c r="D47" s="491">
        <v>19</v>
      </c>
      <c r="E47" s="492">
        <v>19</v>
      </c>
      <c r="F47" s="492">
        <v>27</v>
      </c>
      <c r="G47" s="492">
        <v>41</v>
      </c>
      <c r="H47" s="492"/>
      <c r="I47" s="492"/>
      <c r="J47" s="492"/>
      <c r="K47" s="492"/>
      <c r="L47" s="491"/>
      <c r="M47" s="492"/>
      <c r="N47" s="492"/>
      <c r="O47" s="493"/>
      <c r="P47" s="494">
        <f>SUM(D47:G47)</f>
        <v>106</v>
      </c>
      <c r="Q47" s="495" t="str">
        <f t="shared" si="2"/>
        <v/>
      </c>
    </row>
    <row r="48" spans="1:17" ht="13.8" thickBot="1" x14ac:dyDescent="0.3">
      <c r="A48" s="498" t="s">
        <v>12</v>
      </c>
      <c r="B48" s="499">
        <f>IF(M7&gt;5,"  ",IF(F11=1,F8,F9))</f>
        <v>1</v>
      </c>
      <c r="C48" s="500">
        <v>1</v>
      </c>
      <c r="D48" s="501">
        <v>45</v>
      </c>
      <c r="E48" s="502">
        <v>24</v>
      </c>
      <c r="F48" s="502">
        <v>7</v>
      </c>
      <c r="G48" s="502">
        <v>7</v>
      </c>
      <c r="H48" s="502"/>
      <c r="I48" s="502"/>
      <c r="J48" s="502"/>
      <c r="K48" s="502"/>
      <c r="L48" s="501"/>
      <c r="M48" s="502"/>
      <c r="N48" s="502"/>
      <c r="O48" s="503"/>
      <c r="P48" s="494">
        <f>SUM(D48:G48)</f>
        <v>83</v>
      </c>
      <c r="Q48" s="504" t="str">
        <f t="shared" si="2"/>
        <v/>
      </c>
    </row>
    <row r="49" spans="1:30" ht="14.4" thickBot="1" x14ac:dyDescent="0.3">
      <c r="A49" s="460" t="str">
        <f>IF(M7=4,"ENTER SUM","SUM")</f>
        <v>SUM</v>
      </c>
      <c r="B49" s="505" t="s">
        <v>201</v>
      </c>
      <c r="C49" s="506"/>
      <c r="D49" s="507">
        <f>SUM(D46:D48)</f>
        <v>65</v>
      </c>
      <c r="E49" s="507">
        <f>SUM(E46:E48)</f>
        <v>54</v>
      </c>
      <c r="F49" s="507">
        <f>SUM(F46:F48)</f>
        <v>53</v>
      </c>
      <c r="G49" s="507">
        <f>SUM(G46:G48)</f>
        <v>73</v>
      </c>
      <c r="H49" s="507"/>
      <c r="I49" s="507"/>
      <c r="J49" s="507"/>
      <c r="K49" s="507"/>
      <c r="L49" s="507"/>
      <c r="M49" s="507"/>
      <c r="N49" s="507"/>
      <c r="O49" s="508"/>
      <c r="P49" s="509">
        <f>SUM(D46:G48)</f>
        <v>245</v>
      </c>
      <c r="Q49" s="510"/>
    </row>
    <row r="50" spans="1:30" ht="14.4" thickBot="1" x14ac:dyDescent="0.3">
      <c r="A50" s="511"/>
      <c r="B50" s="512" t="s">
        <v>202</v>
      </c>
      <c r="C50" s="513"/>
      <c r="D50" s="514" t="str">
        <f t="shared" ref="D50:O50" si="3">IF(AND($M$7=4,$F$14-D35&gt;-0.5),SUM(D37:D48),"")</f>
        <v/>
      </c>
      <c r="E50" s="515" t="str">
        <f t="shared" si="3"/>
        <v/>
      </c>
      <c r="F50" s="515" t="str">
        <f t="shared" si="3"/>
        <v/>
      </c>
      <c r="G50" s="515" t="str">
        <f t="shared" si="3"/>
        <v/>
      </c>
      <c r="H50" s="515" t="str">
        <f t="shared" si="3"/>
        <v/>
      </c>
      <c r="I50" s="515" t="str">
        <f t="shared" si="3"/>
        <v/>
      </c>
      <c r="J50" s="515" t="str">
        <f t="shared" si="3"/>
        <v/>
      </c>
      <c r="K50" s="515" t="str">
        <f t="shared" si="3"/>
        <v/>
      </c>
      <c r="L50" s="515" t="str">
        <f t="shared" si="3"/>
        <v/>
      </c>
      <c r="M50" s="515" t="str">
        <f t="shared" si="3"/>
        <v/>
      </c>
      <c r="N50" s="515" t="str">
        <f t="shared" si="3"/>
        <v/>
      </c>
      <c r="O50" s="516" t="str">
        <f t="shared" si="3"/>
        <v/>
      </c>
      <c r="P50" s="517"/>
      <c r="Q50" s="550" t="str">
        <f>IF($M$7=2,SUM(D37:O48)," ")</f>
        <v xml:space="preserve"> </v>
      </c>
    </row>
    <row r="51" spans="1:30" x14ac:dyDescent="0.25">
      <c r="H51" s="458" t="str">
        <f>IF(OR(M7=2,M7=3,M7=4),"To be expected value approximately  ","")</f>
        <v/>
      </c>
      <c r="I51" s="548" t="str">
        <f>IF(M7=2," 100",IF(M7=3,100*F10,IF(M7=4,100*F14,"   ")))</f>
        <v xml:space="preserve">   </v>
      </c>
      <c r="J51" s="576" t="str">
        <f>IF(OR(M7=1,M7=9)," ",IF(ABS(I51/I52-1)&gt;0.1,"  ERROR ??",""))</f>
        <v xml:space="preserve"> </v>
      </c>
      <c r="K51" s="577"/>
    </row>
    <row r="52" spans="1:30" x14ac:dyDescent="0.25">
      <c r="A52" s="518"/>
      <c r="B52" s="518"/>
      <c r="C52" s="518"/>
      <c r="D52" s="518" t="s">
        <v>14</v>
      </c>
      <c r="E52" s="518"/>
      <c r="F52" s="518"/>
      <c r="G52" s="518"/>
      <c r="H52" s="518"/>
      <c r="I52" s="519">
        <f>SUM(D37:O48)</f>
        <v>245</v>
      </c>
      <c r="J52" s="518"/>
      <c r="K52" s="518" t="s">
        <v>51</v>
      </c>
      <c r="L52" s="518"/>
      <c r="M52" s="518"/>
      <c r="N52" s="518"/>
      <c r="P52" s="520">
        <f>IF($M$7=1,SUM(D37:O48),IF($M$7=2,M4,IF($M$7=3,SUM(P37:P48),IF($M$7=4,SUM(D49:O49),""))))</f>
        <v>245</v>
      </c>
      <c r="R52" s="518"/>
    </row>
    <row r="53" spans="1:30" s="523" customFormat="1" x14ac:dyDescent="0.25">
      <c r="A53" s="521"/>
      <c r="B53" s="521"/>
      <c r="C53" s="521"/>
      <c r="D53" s="521"/>
      <c r="E53" s="521"/>
      <c r="F53" s="521"/>
      <c r="G53" s="521"/>
      <c r="H53" s="521"/>
      <c r="I53" s="522"/>
      <c r="J53" s="521"/>
      <c r="K53" s="521"/>
      <c r="L53" s="521"/>
      <c r="M53" s="521"/>
      <c r="N53" s="521"/>
      <c r="P53" s="524"/>
      <c r="R53" s="521"/>
      <c r="S53" s="434"/>
      <c r="T53" s="434"/>
      <c r="U53" s="434"/>
      <c r="V53" s="434"/>
      <c r="W53" s="434"/>
      <c r="X53" s="434"/>
      <c r="Y53" s="434"/>
      <c r="Z53" s="434"/>
      <c r="AA53" s="434"/>
      <c r="AB53" s="434"/>
      <c r="AC53" s="434"/>
      <c r="AD53" s="434"/>
    </row>
    <row r="54" spans="1:30" x14ac:dyDescent="0.25">
      <c r="A54" s="469" t="s">
        <v>169</v>
      </c>
      <c r="B54" s="469"/>
    </row>
    <row r="55" spans="1:30" ht="13.8" thickBot="1" x14ac:dyDescent="0.3">
      <c r="D55" s="445" t="str">
        <f>IF(M7=9,"Clear the yellow cells before data entry.","IGNORE THIS TABLE")</f>
        <v>IGNORE THIS TABLE</v>
      </c>
      <c r="M55" s="457" t="s">
        <v>165</v>
      </c>
    </row>
    <row r="56" spans="1:30" ht="13.8" thickBot="1" x14ac:dyDescent="0.3">
      <c r="A56" s="518"/>
      <c r="B56" s="518"/>
      <c r="C56" s="525" t="s">
        <v>122</v>
      </c>
      <c r="D56" s="475">
        <v>1</v>
      </c>
      <c r="E56" s="476">
        <f t="shared" ref="E56:O56" si="4">D56+1</f>
        <v>2</v>
      </c>
      <c r="F56" s="476">
        <f t="shared" si="4"/>
        <v>3</v>
      </c>
      <c r="G56" s="476">
        <f t="shared" si="4"/>
        <v>4</v>
      </c>
      <c r="H56" s="476">
        <f t="shared" si="4"/>
        <v>5</v>
      </c>
      <c r="I56" s="476">
        <f t="shared" si="4"/>
        <v>6</v>
      </c>
      <c r="J56" s="476">
        <f t="shared" si="4"/>
        <v>7</v>
      </c>
      <c r="K56" s="476">
        <f t="shared" si="4"/>
        <v>8</v>
      </c>
      <c r="L56" s="476">
        <f t="shared" si="4"/>
        <v>9</v>
      </c>
      <c r="M56" s="476">
        <f t="shared" si="4"/>
        <v>10</v>
      </c>
      <c r="N56" s="476">
        <f t="shared" si="4"/>
        <v>11</v>
      </c>
      <c r="O56" s="477">
        <f t="shared" si="4"/>
        <v>12</v>
      </c>
      <c r="P56" s="526" t="s">
        <v>72</v>
      </c>
    </row>
    <row r="57" spans="1:30" ht="13.8" thickBot="1" x14ac:dyDescent="0.3">
      <c r="A57" s="518"/>
      <c r="B57" s="518"/>
      <c r="C57" s="525"/>
      <c r="D57" s="479" t="s">
        <v>142</v>
      </c>
      <c r="E57" s="480" t="s">
        <v>143</v>
      </c>
      <c r="F57" s="480" t="s">
        <v>144</v>
      </c>
      <c r="G57" s="480" t="s">
        <v>145</v>
      </c>
      <c r="H57" s="480" t="s">
        <v>146</v>
      </c>
      <c r="I57" s="480" t="s">
        <v>75</v>
      </c>
      <c r="J57" s="480" t="s">
        <v>147</v>
      </c>
      <c r="K57" s="480" t="s">
        <v>148</v>
      </c>
      <c r="L57" s="480" t="s">
        <v>149</v>
      </c>
      <c r="M57" s="480" t="s">
        <v>150</v>
      </c>
      <c r="N57" s="480" t="s">
        <v>151</v>
      </c>
      <c r="O57" s="481" t="s">
        <v>152</v>
      </c>
      <c r="P57" s="527"/>
    </row>
    <row r="58" spans="1:30" x14ac:dyDescent="0.25">
      <c r="A58" s="518"/>
      <c r="B58" s="518"/>
      <c r="C58" s="525" t="s">
        <v>123</v>
      </c>
      <c r="D58" s="528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30"/>
      <c r="P58" s="531">
        <f>SUM(D58:O58)</f>
        <v>0</v>
      </c>
    </row>
    <row r="59" spans="1:30" x14ac:dyDescent="0.25">
      <c r="A59" s="518"/>
      <c r="B59" s="518"/>
      <c r="C59" s="525" t="s">
        <v>105</v>
      </c>
      <c r="D59" s="532"/>
      <c r="E59" s="533"/>
      <c r="F59" s="533"/>
      <c r="G59" s="533"/>
      <c r="H59" s="533"/>
      <c r="I59" s="533"/>
      <c r="J59" s="533"/>
      <c r="K59" s="533"/>
      <c r="L59" s="533"/>
      <c r="M59" s="533"/>
      <c r="N59" s="533"/>
      <c r="O59" s="534"/>
      <c r="P59" s="535" t="str">
        <f>IF(P58&gt;1,(D58*D59+E58*E59+F58*F59+G58*G59+H58*H59+I58*I59+J58*J59+K58*K59+L58*L59+M58*M59+N58*N59+O58*O59)/P58," ")</f>
        <v xml:space="preserve"> </v>
      </c>
    </row>
    <row r="60" spans="1:30" ht="13.8" thickBot="1" x14ac:dyDescent="0.3">
      <c r="A60" s="518"/>
      <c r="B60" s="518"/>
      <c r="C60" s="525" t="s">
        <v>104</v>
      </c>
      <c r="D60" s="536"/>
      <c r="E60" s="537"/>
      <c r="F60" s="537"/>
      <c r="G60" s="537"/>
      <c r="H60" s="537"/>
      <c r="I60" s="537"/>
      <c r="J60" s="537"/>
      <c r="K60" s="537"/>
      <c r="L60" s="537"/>
      <c r="M60" s="537" t="s">
        <v>255</v>
      </c>
      <c r="N60" s="537"/>
      <c r="O60" s="538"/>
      <c r="P60" s="539" t="str">
        <f>IF(P58&gt;F14,SQRT(((D58-1)*D60*D60+(E58-1)*E60*E60+(F58-1)*F60*F60+(G58-1)*G60*G60+(H58-1)*H60*H60+(I58-1)*I60*I60+(J58-1)*J60*J60+(K58-1)*K60*K60+(L58-1)*L60*L60+(M58-1)*M60*M60+(N58-1)*N60*N60+(O58-1)*O60*O60)/(P58-F14))," ")</f>
        <v xml:space="preserve"> </v>
      </c>
    </row>
    <row r="61" spans="1:30" x14ac:dyDescent="0.25">
      <c r="C61" s="458" t="s">
        <v>124</v>
      </c>
      <c r="D61" s="540" t="str">
        <f t="shared" ref="D61:O61" si="5">IF(AND($M$7&gt;8,D$56&lt;$F$14+0.1,OR(D$59&lt;$F$9,D$59&gt;$F$8,D$60&gt;SQRT(ABS(($F$8-D$59)*(D$59-$F$9))))),"INPUT","  ")</f>
        <v xml:space="preserve">  </v>
      </c>
      <c r="E61" s="540" t="str">
        <f t="shared" si="5"/>
        <v xml:space="preserve">  </v>
      </c>
      <c r="F61" s="540" t="str">
        <f t="shared" si="5"/>
        <v xml:space="preserve">  </v>
      </c>
      <c r="G61" s="540" t="str">
        <f t="shared" si="5"/>
        <v xml:space="preserve">  </v>
      </c>
      <c r="H61" s="540" t="str">
        <f t="shared" si="5"/>
        <v xml:space="preserve">  </v>
      </c>
      <c r="I61" s="540" t="str">
        <f t="shared" si="5"/>
        <v xml:space="preserve">  </v>
      </c>
      <c r="J61" s="540" t="str">
        <f t="shared" si="5"/>
        <v xml:space="preserve">  </v>
      </c>
      <c r="K61" s="540" t="str">
        <f t="shared" si="5"/>
        <v xml:space="preserve">  </v>
      </c>
      <c r="L61" s="540" t="str">
        <f t="shared" si="5"/>
        <v xml:space="preserve">  </v>
      </c>
      <c r="M61" s="540" t="str">
        <f t="shared" si="5"/>
        <v xml:space="preserve">  </v>
      </c>
      <c r="N61" s="540" t="str">
        <f t="shared" si="5"/>
        <v xml:space="preserve">  </v>
      </c>
      <c r="O61" s="540" t="str">
        <f t="shared" si="5"/>
        <v xml:space="preserve">  </v>
      </c>
      <c r="P61" s="457"/>
    </row>
    <row r="62" spans="1:30" ht="13.8" thickBot="1" x14ac:dyDescent="0.3">
      <c r="A62" s="541"/>
      <c r="B62" s="541"/>
      <c r="C62" s="542"/>
      <c r="D62" s="543" t="str">
        <f t="shared" ref="D62:O62" si="6">IF(AND($M$7&gt;8,D$56&lt;$F$14+0.1,OR(D$59&lt;$F$9,D$59&gt;$F$8,D$60&gt;SQRT(ABS(($F$8-D$59)*(D$59-$F$9))))),"ERROR","  ")</f>
        <v xml:space="preserve">  </v>
      </c>
      <c r="E62" s="543" t="str">
        <f t="shared" si="6"/>
        <v xml:space="preserve">  </v>
      </c>
      <c r="F62" s="543" t="str">
        <f t="shared" si="6"/>
        <v xml:space="preserve">  </v>
      </c>
      <c r="G62" s="543" t="str">
        <f t="shared" si="6"/>
        <v xml:space="preserve">  </v>
      </c>
      <c r="H62" s="543" t="str">
        <f t="shared" si="6"/>
        <v xml:space="preserve">  </v>
      </c>
      <c r="I62" s="543" t="str">
        <f t="shared" si="6"/>
        <v xml:space="preserve">  </v>
      </c>
      <c r="J62" s="543" t="str">
        <f t="shared" si="6"/>
        <v xml:space="preserve">  </v>
      </c>
      <c r="K62" s="543" t="str">
        <f t="shared" si="6"/>
        <v xml:space="preserve">  </v>
      </c>
      <c r="L62" s="543" t="str">
        <f t="shared" si="6"/>
        <v xml:space="preserve">  </v>
      </c>
      <c r="M62" s="543" t="str">
        <f t="shared" si="6"/>
        <v xml:space="preserve">  </v>
      </c>
      <c r="N62" s="543" t="str">
        <f t="shared" si="6"/>
        <v xml:space="preserve">  </v>
      </c>
      <c r="O62" s="543" t="str">
        <f t="shared" si="6"/>
        <v xml:space="preserve">  </v>
      </c>
      <c r="P62" s="544"/>
      <c r="Q62" s="541"/>
    </row>
    <row r="63" spans="1:30" s="523" customFormat="1" ht="13.8" thickTop="1" x14ac:dyDescent="0.25">
      <c r="A63" s="545"/>
      <c r="B63" s="545"/>
      <c r="C63" s="545"/>
      <c r="D63" s="545"/>
      <c r="E63" s="545"/>
      <c r="F63" s="545"/>
      <c r="G63" s="545"/>
      <c r="H63" s="545"/>
      <c r="I63" s="545"/>
      <c r="J63" s="545"/>
      <c r="K63" s="545"/>
      <c r="L63" s="545"/>
      <c r="M63" s="545"/>
      <c r="N63" s="545"/>
      <c r="O63" s="546"/>
      <c r="P63" s="547"/>
      <c r="Q63" s="546"/>
      <c r="R63" s="521"/>
      <c r="S63" s="521"/>
    </row>
    <row r="64" spans="1:30" s="523" customFormat="1" x14ac:dyDescent="0.25">
      <c r="A64" s="521"/>
      <c r="B64" s="521"/>
      <c r="C64" s="521"/>
      <c r="D64" s="434"/>
      <c r="E64" s="434"/>
      <c r="F64" s="434"/>
      <c r="G64" s="434"/>
      <c r="H64" s="434"/>
      <c r="I64" s="434"/>
      <c r="J64" s="434"/>
      <c r="K64" s="434"/>
      <c r="L64" s="434"/>
      <c r="M64" s="434"/>
      <c r="N64" s="434"/>
      <c r="O64" s="434"/>
      <c r="P64" s="434"/>
      <c r="Q64" s="434"/>
      <c r="R64" s="434"/>
      <c r="S64" s="521"/>
    </row>
    <row r="65" spans="1:19" s="523" customFormat="1" x14ac:dyDescent="0.25">
      <c r="A65" s="521"/>
      <c r="B65" s="521"/>
      <c r="C65" s="521"/>
      <c r="D65" s="434"/>
      <c r="E65" s="434"/>
      <c r="F65" s="434"/>
      <c r="G65" s="434"/>
      <c r="H65" s="434"/>
      <c r="I65" s="434"/>
      <c r="J65" s="434"/>
      <c r="K65" s="434"/>
      <c r="L65" s="434"/>
      <c r="M65" s="434"/>
      <c r="N65" s="434"/>
      <c r="O65" s="434"/>
      <c r="P65" s="434"/>
      <c r="Q65" s="434"/>
      <c r="R65" s="434"/>
      <c r="S65" s="521"/>
    </row>
    <row r="66" spans="1:19" s="523" customFormat="1" x14ac:dyDescent="0.25">
      <c r="A66" s="521"/>
      <c r="B66" s="521"/>
      <c r="C66" s="521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4"/>
      <c r="O66" s="434"/>
      <c r="P66" s="434"/>
      <c r="Q66" s="434"/>
      <c r="R66" s="434"/>
      <c r="S66" s="521"/>
    </row>
    <row r="67" spans="1:19" s="523" customFormat="1" x14ac:dyDescent="0.25">
      <c r="A67" s="521"/>
      <c r="B67" s="521"/>
      <c r="C67" s="521"/>
      <c r="D67" s="521"/>
      <c r="E67" s="521"/>
      <c r="F67" s="521"/>
      <c r="G67" s="521"/>
      <c r="H67" s="434"/>
      <c r="I67" s="522"/>
      <c r="J67" s="521"/>
      <c r="K67" s="521"/>
      <c r="L67" s="521"/>
      <c r="M67" s="521"/>
      <c r="N67" s="521"/>
      <c r="P67" s="524"/>
      <c r="R67" s="521"/>
      <c r="S67" s="521"/>
    </row>
    <row r="68" spans="1:19" s="523" customFormat="1" x14ac:dyDescent="0.25">
      <c r="A68" s="521"/>
      <c r="B68" s="521"/>
      <c r="C68" s="521"/>
      <c r="D68" s="521"/>
      <c r="E68" s="521"/>
      <c r="F68" s="521"/>
      <c r="G68" s="521"/>
      <c r="H68" s="434"/>
      <c r="I68" s="522"/>
      <c r="J68" s="521"/>
      <c r="K68" s="521"/>
      <c r="L68" s="521"/>
      <c r="M68" s="521"/>
      <c r="N68" s="521"/>
      <c r="P68" s="524"/>
      <c r="R68" s="521"/>
      <c r="S68" s="521"/>
    </row>
    <row r="69" spans="1:19" s="523" customFormat="1" x14ac:dyDescent="0.25">
      <c r="A69" s="521"/>
      <c r="B69" s="521"/>
      <c r="C69" s="521"/>
      <c r="D69" s="521"/>
      <c r="E69" s="521"/>
      <c r="F69" s="521"/>
      <c r="G69" s="521"/>
      <c r="H69" s="434"/>
      <c r="I69" s="522"/>
      <c r="J69" s="521"/>
      <c r="K69" s="521"/>
      <c r="L69" s="521"/>
      <c r="M69" s="521"/>
      <c r="N69" s="521"/>
      <c r="P69" s="524"/>
      <c r="R69" s="521"/>
      <c r="S69" s="521"/>
    </row>
    <row r="70" spans="1:19" s="523" customFormat="1" x14ac:dyDescent="0.25">
      <c r="A70" s="521"/>
      <c r="B70" s="521"/>
      <c r="C70" s="521"/>
      <c r="D70" s="521"/>
      <c r="E70" s="521"/>
      <c r="F70" s="521"/>
      <c r="G70" s="521"/>
      <c r="H70" s="521"/>
      <c r="I70" s="522"/>
      <c r="J70" s="521"/>
      <c r="K70" s="521"/>
      <c r="L70" s="521"/>
      <c r="M70" s="521"/>
      <c r="N70" s="521"/>
      <c r="P70" s="524"/>
      <c r="R70" s="521"/>
      <c r="S70" s="521"/>
    </row>
    <row r="71" spans="1:19" s="523" customFormat="1" x14ac:dyDescent="0.25">
      <c r="A71" s="521"/>
      <c r="B71" s="521"/>
      <c r="C71" s="521"/>
      <c r="D71" s="521"/>
      <c r="E71" s="521"/>
      <c r="F71" s="521"/>
      <c r="G71" s="521"/>
      <c r="H71" s="521"/>
      <c r="I71" s="522"/>
      <c r="J71" s="521"/>
      <c r="K71" s="521"/>
      <c r="L71" s="521"/>
      <c r="M71" s="521"/>
      <c r="N71" s="521"/>
      <c r="P71" s="524"/>
      <c r="R71" s="521"/>
      <c r="S71" s="521"/>
    </row>
    <row r="72" spans="1:19" s="523" customFormat="1" x14ac:dyDescent="0.25">
      <c r="A72" s="521"/>
      <c r="B72" s="521"/>
      <c r="C72" s="521"/>
      <c r="D72" s="521"/>
      <c r="E72" s="521"/>
      <c r="F72" s="521"/>
      <c r="G72" s="521"/>
      <c r="H72" s="521"/>
      <c r="I72" s="522"/>
      <c r="J72" s="521"/>
      <c r="K72" s="521"/>
      <c r="L72" s="521"/>
      <c r="M72" s="521"/>
      <c r="N72" s="521"/>
      <c r="P72" s="524"/>
      <c r="R72" s="521"/>
      <c r="S72" s="521"/>
    </row>
    <row r="73" spans="1:19" s="523" customFormat="1" x14ac:dyDescent="0.25">
      <c r="A73" s="521"/>
      <c r="B73" s="521"/>
      <c r="C73" s="521"/>
      <c r="D73" s="521"/>
      <c r="E73" s="521"/>
      <c r="F73" s="521"/>
      <c r="G73" s="521"/>
      <c r="H73" s="521"/>
      <c r="I73" s="522"/>
      <c r="J73" s="521"/>
      <c r="K73" s="521"/>
      <c r="L73" s="521"/>
      <c r="M73" s="521"/>
      <c r="N73" s="521"/>
      <c r="P73" s="524"/>
      <c r="R73" s="521"/>
      <c r="S73" s="521"/>
    </row>
    <row r="74" spans="1:19" s="523" customFormat="1" x14ac:dyDescent="0.25">
      <c r="A74" s="521"/>
      <c r="B74" s="521"/>
      <c r="C74" s="521"/>
      <c r="D74" s="521"/>
      <c r="E74" s="521"/>
      <c r="F74" s="521"/>
      <c r="G74" s="521"/>
      <c r="H74" s="521"/>
      <c r="I74" s="522"/>
      <c r="J74" s="521"/>
      <c r="K74" s="521"/>
      <c r="L74" s="521"/>
      <c r="M74" s="521"/>
      <c r="N74" s="521"/>
      <c r="P74" s="524"/>
      <c r="R74" s="521"/>
      <c r="S74" s="521"/>
    </row>
    <row r="75" spans="1:19" s="523" customFormat="1" x14ac:dyDescent="0.25">
      <c r="A75" s="521"/>
      <c r="B75" s="521"/>
      <c r="C75" s="521"/>
      <c r="D75" s="521"/>
      <c r="E75" s="521"/>
      <c r="F75" s="521"/>
      <c r="G75" s="521"/>
      <c r="H75" s="521"/>
      <c r="I75" s="522"/>
      <c r="J75" s="521"/>
      <c r="K75" s="521"/>
      <c r="L75" s="521"/>
      <c r="M75" s="521"/>
      <c r="N75" s="521"/>
      <c r="P75" s="524"/>
      <c r="R75" s="521"/>
      <c r="S75" s="521"/>
    </row>
    <row r="76" spans="1:19" s="523" customFormat="1" x14ac:dyDescent="0.25">
      <c r="A76" s="521"/>
      <c r="B76" s="521"/>
      <c r="C76" s="521"/>
      <c r="D76" s="521"/>
      <c r="E76" s="521"/>
      <c r="F76" s="521"/>
      <c r="G76" s="521"/>
      <c r="H76" s="521"/>
      <c r="I76" s="522"/>
      <c r="J76" s="521"/>
      <c r="K76" s="521"/>
      <c r="L76" s="521"/>
      <c r="M76" s="521"/>
      <c r="N76" s="521"/>
      <c r="P76" s="524"/>
      <c r="R76" s="521"/>
      <c r="S76" s="521"/>
    </row>
    <row r="77" spans="1:19" s="523" customFormat="1" x14ac:dyDescent="0.25">
      <c r="A77" s="521"/>
      <c r="B77" s="521"/>
      <c r="C77" s="521"/>
      <c r="D77" s="521"/>
      <c r="E77" s="521"/>
      <c r="F77" s="521"/>
      <c r="G77" s="521"/>
      <c r="H77" s="521"/>
      <c r="I77" s="522"/>
      <c r="J77" s="521"/>
      <c r="K77" s="521"/>
      <c r="L77" s="521"/>
      <c r="M77" s="521"/>
      <c r="N77" s="521"/>
      <c r="P77" s="524"/>
      <c r="R77" s="521"/>
      <c r="S77" s="521"/>
    </row>
    <row r="78" spans="1:19" s="523" customFormat="1" x14ac:dyDescent="0.25">
      <c r="A78" s="521"/>
      <c r="B78" s="521"/>
      <c r="C78" s="521"/>
      <c r="D78" s="521"/>
      <c r="E78" s="521"/>
      <c r="F78" s="521"/>
      <c r="G78" s="521"/>
      <c r="H78" s="521"/>
      <c r="I78" s="522"/>
      <c r="J78" s="521"/>
      <c r="K78" s="521"/>
      <c r="L78" s="521"/>
      <c r="M78" s="521"/>
      <c r="N78" s="521"/>
      <c r="P78" s="524"/>
      <c r="R78" s="521"/>
      <c r="S78" s="521"/>
    </row>
  </sheetData>
  <sheetProtection password="C550" sheet="1" objects="1" scenarios="1"/>
  <mergeCells count="18">
    <mergeCell ref="E16:M16"/>
    <mergeCell ref="E21:M21"/>
    <mergeCell ref="E22:M22"/>
    <mergeCell ref="E23:M23"/>
    <mergeCell ref="E24:M24"/>
    <mergeCell ref="D4:F4"/>
    <mergeCell ref="E18:M18"/>
    <mergeCell ref="E19:M19"/>
    <mergeCell ref="E20:M20"/>
    <mergeCell ref="A5:G5"/>
    <mergeCell ref="A6:F6"/>
    <mergeCell ref="E29:M29"/>
    <mergeCell ref="P35:Q35"/>
    <mergeCell ref="J51:K51"/>
    <mergeCell ref="E25:M25"/>
    <mergeCell ref="E26:M26"/>
    <mergeCell ref="E27:M27"/>
    <mergeCell ref="E28:M28"/>
  </mergeCells>
  <phoneticPr fontId="0" type="noConversion"/>
  <conditionalFormatting sqref="I51">
    <cfRule type="expression" dxfId="4" priority="1" stopIfTrue="1">
      <formula>ABS(I51/I52-1)-0.1&gt;0</formula>
    </cfRule>
  </conditionalFormatting>
  <conditionalFormatting sqref="A49">
    <cfRule type="expression" dxfId="3" priority="2" stopIfTrue="1">
      <formula>M7=4</formula>
    </cfRule>
  </conditionalFormatting>
  <conditionalFormatting sqref="P35:Q35">
    <cfRule type="expression" dxfId="2" priority="3" stopIfTrue="1">
      <formula>M7=3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P36"/>
  <sheetViews>
    <sheetView showGridLines="0" workbookViewId="0">
      <selection activeCell="M3" sqref="M3"/>
    </sheetView>
  </sheetViews>
  <sheetFormatPr defaultRowHeight="13.2" x14ac:dyDescent="0.25"/>
  <cols>
    <col min="1" max="1" width="12.6640625" customWidth="1"/>
    <col min="2" max="14" width="5.6640625" customWidth="1"/>
    <col min="15" max="15" width="7.6640625" customWidth="1"/>
    <col min="16" max="16" width="5.6640625" customWidth="1"/>
    <col min="17" max="17" width="8.6640625" customWidth="1"/>
    <col min="18" max="30" width="5.6640625" customWidth="1"/>
  </cols>
  <sheetData>
    <row r="1" spans="1:16" ht="13.8" thickBot="1" x14ac:dyDescent="0.3">
      <c r="A1" s="65" t="s">
        <v>192</v>
      </c>
      <c r="B1" s="6"/>
      <c r="C1" s="2"/>
      <c r="D1" s="2"/>
      <c r="E1" s="2"/>
      <c r="F1" s="2"/>
      <c r="G1" s="2"/>
      <c r="H1" s="2"/>
      <c r="I1" s="2"/>
      <c r="J1" s="6"/>
      <c r="K1" s="6"/>
      <c r="L1" s="6"/>
      <c r="M1" s="6"/>
      <c r="N1" s="6"/>
      <c r="O1" s="6"/>
      <c r="P1" s="264"/>
    </row>
    <row r="2" spans="1:16" x14ac:dyDescent="0.25">
      <c r="B2" t="s">
        <v>52</v>
      </c>
      <c r="M2" s="68" t="s">
        <v>260</v>
      </c>
    </row>
    <row r="3" spans="1:16" ht="13.8" thickBot="1" x14ac:dyDescent="0.3">
      <c r="A3" s="141"/>
    </row>
    <row r="4" spans="1:16" x14ac:dyDescent="0.25">
      <c r="A4" s="142" t="s">
        <v>92</v>
      </c>
      <c r="B4" s="14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44"/>
    </row>
    <row r="5" spans="1:16" x14ac:dyDescent="0.25">
      <c r="A5" s="145" t="s">
        <v>191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46"/>
    </row>
    <row r="6" spans="1:16" x14ac:dyDescent="0.25">
      <c r="A6" s="147" t="s">
        <v>190</v>
      </c>
      <c r="B6" s="5"/>
      <c r="C6" s="5"/>
      <c r="D6" s="5" t="s">
        <v>196</v>
      </c>
      <c r="E6" s="5"/>
      <c r="F6" s="5"/>
      <c r="G6" s="5"/>
      <c r="H6" s="5"/>
      <c r="I6" s="5"/>
      <c r="J6" s="5"/>
      <c r="K6" s="5"/>
      <c r="L6" s="5"/>
      <c r="M6" s="5"/>
      <c r="N6" s="5"/>
      <c r="O6" s="146"/>
    </row>
    <row r="7" spans="1:16" x14ac:dyDescent="0.25">
      <c r="A7" s="263" t="s">
        <v>197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46"/>
    </row>
    <row r="8" spans="1:16" x14ac:dyDescent="0.25">
      <c r="A8" s="145" t="s">
        <v>176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46"/>
    </row>
    <row r="9" spans="1:16" x14ac:dyDescent="0.25">
      <c r="A9" s="145" t="s">
        <v>173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46"/>
    </row>
    <row r="10" spans="1:16" x14ac:dyDescent="0.25">
      <c r="A10" s="145" t="s">
        <v>172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46"/>
    </row>
    <row r="11" spans="1:16" x14ac:dyDescent="0.25">
      <c r="A11" s="145" t="s">
        <v>95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46"/>
    </row>
    <row r="12" spans="1:16" x14ac:dyDescent="0.25">
      <c r="A12" s="145" t="s">
        <v>96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46"/>
    </row>
    <row r="13" spans="1:16" x14ac:dyDescent="0.25">
      <c r="A13" s="145" t="s">
        <v>183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46"/>
    </row>
    <row r="14" spans="1:16" x14ac:dyDescent="0.25">
      <c r="A14" s="145" t="s">
        <v>184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46"/>
    </row>
    <row r="15" spans="1:16" x14ac:dyDescent="0.25">
      <c r="A15" s="145" t="s">
        <v>182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146"/>
    </row>
    <row r="16" spans="1:16" x14ac:dyDescent="0.25">
      <c r="A16" s="145" t="s">
        <v>93</v>
      </c>
      <c r="B16" s="5"/>
      <c r="C16" s="5"/>
      <c r="D16" s="5"/>
      <c r="E16" s="5"/>
      <c r="F16" s="5" t="s">
        <v>94</v>
      </c>
      <c r="G16" s="5"/>
      <c r="H16" s="5"/>
      <c r="I16" s="5"/>
      <c r="J16" s="5"/>
      <c r="K16" s="5"/>
      <c r="L16" s="5"/>
      <c r="M16" s="5"/>
      <c r="N16" s="5"/>
      <c r="O16" s="146"/>
    </row>
    <row r="17" spans="1:15" x14ac:dyDescent="0.25">
      <c r="A17" s="145" t="s">
        <v>188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46"/>
    </row>
    <row r="18" spans="1:15" x14ac:dyDescent="0.25">
      <c r="A18" s="145" t="s">
        <v>189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46"/>
    </row>
    <row r="19" spans="1:15" x14ac:dyDescent="0.25">
      <c r="A19" s="145" t="s">
        <v>100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46"/>
    </row>
    <row r="20" spans="1:15" x14ac:dyDescent="0.25">
      <c r="A20" s="145" t="s">
        <v>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46"/>
    </row>
    <row r="21" spans="1:15" x14ac:dyDescent="0.25">
      <c r="A21" s="145" t="s">
        <v>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46"/>
    </row>
    <row r="22" spans="1:15" x14ac:dyDescent="0.25">
      <c r="A22" s="145" t="s">
        <v>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46"/>
    </row>
    <row r="23" spans="1:15" x14ac:dyDescent="0.25">
      <c r="A23" s="145" t="s">
        <v>193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46"/>
    </row>
    <row r="24" spans="1:15" x14ac:dyDescent="0.25">
      <c r="A24" s="145" t="s">
        <v>120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46"/>
    </row>
    <row r="25" spans="1:15" x14ac:dyDescent="0.25">
      <c r="A25" s="145" t="s">
        <v>133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46"/>
    </row>
    <row r="26" spans="1:15" x14ac:dyDescent="0.25">
      <c r="A26" s="145" t="s">
        <v>134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46"/>
    </row>
    <row r="27" spans="1:15" x14ac:dyDescent="0.25">
      <c r="A27" s="145" t="s">
        <v>198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46"/>
    </row>
    <row r="28" spans="1:15" x14ac:dyDescent="0.25">
      <c r="A28" s="145" t="s">
        <v>139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46"/>
    </row>
    <row r="29" spans="1:15" x14ac:dyDescent="0.25">
      <c r="A29" s="145" t="s">
        <v>140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46"/>
    </row>
    <row r="30" spans="1:15" x14ac:dyDescent="0.25">
      <c r="A30" s="145" t="s">
        <v>194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46"/>
    </row>
    <row r="31" spans="1:15" x14ac:dyDescent="0.25">
      <c r="A31" s="145" t="s">
        <v>248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46"/>
    </row>
    <row r="32" spans="1:15" x14ac:dyDescent="0.25">
      <c r="A32" s="145" t="s">
        <v>102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46"/>
    </row>
    <row r="33" spans="1:15" x14ac:dyDescent="0.25">
      <c r="A33" s="145" t="s">
        <v>174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46"/>
    </row>
    <row r="34" spans="1:15" x14ac:dyDescent="0.25">
      <c r="A34" s="145" t="s">
        <v>116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6"/>
    </row>
    <row r="35" spans="1:15" x14ac:dyDescent="0.25">
      <c r="A35" s="145" t="s">
        <v>175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46"/>
    </row>
    <row r="36" spans="1:15" ht="13.8" thickBot="1" x14ac:dyDescent="0.3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50"/>
    </row>
  </sheetData>
  <sheetProtection password="C550" sheet="1" objects="1" scenario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1"/>
    <pageSetUpPr fitToPage="1"/>
  </sheetPr>
  <dimension ref="A1:Q88"/>
  <sheetViews>
    <sheetView showGridLines="0" workbookViewId="0">
      <selection activeCell="D3" sqref="D3:F3"/>
    </sheetView>
  </sheetViews>
  <sheetFormatPr defaultRowHeight="13.2" x14ac:dyDescent="0.25"/>
  <cols>
    <col min="1" max="1" width="5.6640625" customWidth="1"/>
    <col min="2" max="5" width="7.88671875" customWidth="1"/>
    <col min="6" max="6" width="8.6640625" customWidth="1"/>
    <col min="7" max="7" width="7.88671875" customWidth="1"/>
    <col min="8" max="8" width="8.6640625" customWidth="1"/>
    <col min="9" max="13" width="7.88671875" customWidth="1"/>
    <col min="14" max="14" width="3.88671875" customWidth="1"/>
    <col min="15" max="17" width="7.88671875" customWidth="1"/>
  </cols>
  <sheetData>
    <row r="1" spans="1:12" ht="13.8" thickBot="1" x14ac:dyDescent="0.3">
      <c r="A1" s="65" t="s">
        <v>209</v>
      </c>
      <c r="B1" s="66"/>
      <c r="C1" s="66"/>
      <c r="D1" s="66"/>
      <c r="E1" s="66"/>
      <c r="F1" s="66"/>
      <c r="G1" s="66"/>
      <c r="H1" s="67"/>
    </row>
    <row r="2" spans="1:12" ht="13.8" thickBot="1" x14ac:dyDescent="0.3"/>
    <row r="3" spans="1:12" ht="16.2" thickBot="1" x14ac:dyDescent="0.35">
      <c r="C3" s="227" t="s">
        <v>253</v>
      </c>
      <c r="D3" s="596" t="str">
        <f>Input!D4</f>
        <v>CHASO1975</v>
      </c>
      <c r="E3" s="597"/>
      <c r="F3" s="598"/>
    </row>
    <row r="5" spans="1:12" x14ac:dyDescent="0.25">
      <c r="A5" s="100" t="s">
        <v>62</v>
      </c>
      <c r="B5" s="8" t="s">
        <v>63</v>
      </c>
      <c r="C5" s="8"/>
      <c r="D5" s="8"/>
      <c r="E5" s="8"/>
      <c r="F5" s="8"/>
      <c r="G5" s="101"/>
      <c r="H5" s="101"/>
      <c r="I5" s="102"/>
    </row>
    <row r="6" spans="1:12" x14ac:dyDescent="0.25">
      <c r="A6" s="100"/>
      <c r="B6" s="8" t="s">
        <v>64</v>
      </c>
      <c r="C6" s="8"/>
      <c r="D6" s="8"/>
      <c r="E6" s="8"/>
      <c r="F6" s="8"/>
      <c r="G6" s="101"/>
      <c r="H6" s="101"/>
      <c r="I6" s="102"/>
    </row>
    <row r="7" spans="1:12" x14ac:dyDescent="0.25">
      <c r="A7" s="100"/>
      <c r="B7" s="8" t="s">
        <v>251</v>
      </c>
      <c r="C7" s="8"/>
      <c r="D7" s="8"/>
      <c r="E7" s="8"/>
      <c r="F7" s="8"/>
      <c r="G7" s="101"/>
      <c r="H7" s="101"/>
      <c r="I7" s="102"/>
      <c r="L7" s="207"/>
    </row>
    <row r="8" spans="1:12" x14ac:dyDescent="0.25">
      <c r="A8" s="100"/>
      <c r="B8" s="8" t="s">
        <v>250</v>
      </c>
      <c r="C8" s="8"/>
      <c r="D8" s="8"/>
      <c r="E8" s="8"/>
      <c r="F8" s="8"/>
      <c r="G8" s="101"/>
      <c r="H8" s="101"/>
      <c r="I8" s="102"/>
    </row>
    <row r="9" spans="1:12" x14ac:dyDescent="0.25">
      <c r="A9" s="100"/>
      <c r="B9" s="8" t="s">
        <v>252</v>
      </c>
      <c r="C9" s="8"/>
      <c r="D9" s="8"/>
      <c r="E9" s="8"/>
      <c r="F9" s="8"/>
      <c r="G9" s="101"/>
      <c r="H9" s="101"/>
      <c r="I9" s="102"/>
    </row>
    <row r="10" spans="1:12" ht="14.25" customHeight="1" x14ac:dyDescent="0.25">
      <c r="A10" s="71"/>
      <c r="G10" s="164"/>
      <c r="H10" s="11"/>
      <c r="I10" s="77"/>
    </row>
    <row r="11" spans="1:12" x14ac:dyDescent="0.25">
      <c r="A11" s="73" t="s">
        <v>262</v>
      </c>
      <c r="G11" s="11"/>
      <c r="H11" s="11"/>
      <c r="I11" s="77"/>
    </row>
    <row r="12" spans="1:12" x14ac:dyDescent="0.25">
      <c r="A12" s="71"/>
      <c r="G12" s="11"/>
      <c r="H12" s="11"/>
      <c r="I12" s="77"/>
    </row>
    <row r="13" spans="1:12" ht="13.8" thickBot="1" x14ac:dyDescent="0.3">
      <c r="A13" s="71"/>
      <c r="B13" t="s">
        <v>42</v>
      </c>
      <c r="C13" s="427"/>
      <c r="D13" s="427"/>
      <c r="G13" s="11"/>
      <c r="H13" s="11"/>
      <c r="I13" s="77"/>
    </row>
    <row r="14" spans="1:12" ht="14.4" thickBot="1" x14ac:dyDescent="0.35">
      <c r="A14" s="224"/>
      <c r="B14" s="287" t="s">
        <v>208</v>
      </c>
      <c r="C14" s="216"/>
      <c r="D14" s="288" t="s">
        <v>24</v>
      </c>
      <c r="E14" s="1" t="s">
        <v>26</v>
      </c>
      <c r="F14" s="289" t="s">
        <v>33</v>
      </c>
      <c r="G14" s="365" t="s">
        <v>30</v>
      </c>
      <c r="H14" s="290"/>
      <c r="I14" s="77"/>
    </row>
    <row r="15" spans="1:12" ht="14.4" thickBot="1" x14ac:dyDescent="0.35">
      <c r="A15" s="71"/>
      <c r="B15" s="423" t="s">
        <v>153</v>
      </c>
      <c r="C15" s="364" t="s">
        <v>106</v>
      </c>
      <c r="D15" s="291" t="s">
        <v>25</v>
      </c>
      <c r="E15" s="215" t="s">
        <v>27</v>
      </c>
      <c r="F15" s="292" t="s">
        <v>34</v>
      </c>
      <c r="G15" s="293" t="s">
        <v>28</v>
      </c>
      <c r="H15" s="294" t="s">
        <v>29</v>
      </c>
      <c r="I15" s="77"/>
    </row>
    <row r="16" spans="1:12" x14ac:dyDescent="0.25">
      <c r="A16" s="71"/>
      <c r="B16" s="422" t="str">
        <f>IF($B$13&lt;11.5,"","L")</f>
        <v>L</v>
      </c>
      <c r="C16" s="424">
        <f>IF($B$13&lt;11.5,"",12)</f>
        <v>12</v>
      </c>
      <c r="D16" s="281" t="str">
        <f>IF($C16&gt;$B$13,"",Means!D30)</f>
        <v/>
      </c>
      <c r="E16" s="282" t="str">
        <f>IF($C16&gt;$B$13,"",Means!E30)</f>
        <v xml:space="preserve"> </v>
      </c>
      <c r="F16" s="283" t="str">
        <f>IF($C16&gt;$B$13,"",Means!F30)</f>
        <v xml:space="preserve"> </v>
      </c>
      <c r="G16" s="281" t="str">
        <f>IF($C16&gt;$B$13,"",Means!G30)</f>
        <v xml:space="preserve"> </v>
      </c>
      <c r="H16" s="281" t="str">
        <f>IF($C16&gt;$B$13,"",Means!H30)</f>
        <v xml:space="preserve"> </v>
      </c>
      <c r="I16" s="77"/>
    </row>
    <row r="17" spans="1:9" x14ac:dyDescent="0.25">
      <c r="A17" s="71"/>
      <c r="B17" s="44" t="str">
        <f>IF($B$13&lt;10.5,"","K")</f>
        <v>K</v>
      </c>
      <c r="C17" s="425">
        <f>IF($B$13&lt;10.5,"",11)</f>
        <v>11</v>
      </c>
      <c r="D17" s="281" t="str">
        <f>IF($C17&gt;$B$13,"",Means!D31)</f>
        <v/>
      </c>
      <c r="E17" s="282" t="str">
        <f>IF($C17&gt;$B$13,"",Means!E31)</f>
        <v xml:space="preserve"> </v>
      </c>
      <c r="F17" s="283" t="str">
        <f>IF($C17&gt;$B$13,"",Means!F31)</f>
        <v xml:space="preserve"> </v>
      </c>
      <c r="G17" s="281" t="str">
        <f>IF($C17&gt;$B$13,"",Means!G31)</f>
        <v xml:space="preserve"> </v>
      </c>
      <c r="H17" s="281" t="str">
        <f>IF($C17&gt;$B$13,"",Means!H31)</f>
        <v xml:space="preserve"> </v>
      </c>
      <c r="I17" s="77"/>
    </row>
    <row r="18" spans="1:9" x14ac:dyDescent="0.25">
      <c r="A18" s="71"/>
      <c r="B18" s="44" t="str">
        <f>IF($B$13&lt;9.5,"","J")</f>
        <v>J</v>
      </c>
      <c r="C18" s="425">
        <f>IF($B$13&lt;9.5,"",10)</f>
        <v>10</v>
      </c>
      <c r="D18" s="281" t="str">
        <f>IF($C18&gt;$B$13,"",Means!D32)</f>
        <v/>
      </c>
      <c r="E18" s="282" t="str">
        <f>IF($C18&gt;$B$13,"",Means!E32)</f>
        <v xml:space="preserve"> </v>
      </c>
      <c r="F18" s="283" t="str">
        <f>IF($C18&gt;$B$13,"",Means!F32)</f>
        <v xml:space="preserve"> </v>
      </c>
      <c r="G18" s="281" t="str">
        <f>IF($C18&gt;$B$13,"",Means!G32)</f>
        <v xml:space="preserve"> </v>
      </c>
      <c r="H18" s="281" t="str">
        <f>IF($C18&gt;$B$13,"",Means!H32)</f>
        <v xml:space="preserve"> </v>
      </c>
      <c r="I18" s="77"/>
    </row>
    <row r="19" spans="1:9" x14ac:dyDescent="0.25">
      <c r="A19" s="71"/>
      <c r="B19" s="44" t="str">
        <f>IF($B$13&lt;8.5,"","I")</f>
        <v>I</v>
      </c>
      <c r="C19" s="425">
        <f>IF($B$13&lt;8.5,"",9)</f>
        <v>9</v>
      </c>
      <c r="D19" s="281" t="str">
        <f>IF($C19&gt;$B$13,"",Means!D33)</f>
        <v/>
      </c>
      <c r="E19" s="282" t="str">
        <f>IF($C19&gt;$B$13,"",Means!E33)</f>
        <v xml:space="preserve"> </v>
      </c>
      <c r="F19" s="283" t="str">
        <f>IF($C19&gt;$B$13,"",Means!F33)</f>
        <v xml:space="preserve"> </v>
      </c>
      <c r="G19" s="281" t="str">
        <f>IF($C19&gt;$B$13,"",Means!G33)</f>
        <v xml:space="preserve"> </v>
      </c>
      <c r="H19" s="281" t="str">
        <f>IF($C19&gt;$B$13,"",Means!H33)</f>
        <v xml:space="preserve"> </v>
      </c>
      <c r="I19" s="77"/>
    </row>
    <row r="20" spans="1:9" x14ac:dyDescent="0.25">
      <c r="A20" s="71"/>
      <c r="B20" s="44" t="str">
        <f>IF($B$13&lt;7.5,"","H")</f>
        <v>H</v>
      </c>
      <c r="C20" s="425">
        <f>IF($B$13&lt;7.5,"",8)</f>
        <v>8</v>
      </c>
      <c r="D20" s="281" t="str">
        <f>IF($C20&gt;$B$13,"",Means!D34)</f>
        <v/>
      </c>
      <c r="E20" s="282" t="str">
        <f>IF($C20&gt;$B$13,"",Means!E34)</f>
        <v xml:space="preserve"> </v>
      </c>
      <c r="F20" s="283" t="str">
        <f>IF($C20&gt;$B$13,"",Means!F34)</f>
        <v xml:space="preserve"> </v>
      </c>
      <c r="G20" s="281" t="str">
        <f>IF($C20&gt;$B$13,"",Means!G34)</f>
        <v xml:space="preserve"> </v>
      </c>
      <c r="H20" s="281" t="str">
        <f>IF($C20&gt;$B$13,"",Means!H34)</f>
        <v xml:space="preserve"> </v>
      </c>
      <c r="I20" s="77"/>
    </row>
    <row r="21" spans="1:9" x14ac:dyDescent="0.25">
      <c r="A21" s="71"/>
      <c r="B21" s="44" t="str">
        <f>IF($B$13&lt;6.5,"","G")</f>
        <v>G</v>
      </c>
      <c r="C21" s="425">
        <f>IF($B$13&lt;6.5,"",7)</f>
        <v>7</v>
      </c>
      <c r="D21" s="281" t="str">
        <f>IF($C21&gt;$B$13,"",Means!D35)</f>
        <v/>
      </c>
      <c r="E21" s="282" t="str">
        <f>IF($C21&gt;$B$13,"",Means!E35)</f>
        <v xml:space="preserve"> </v>
      </c>
      <c r="F21" s="283" t="str">
        <f>IF($C21&gt;$B$13,"",Means!F35)</f>
        <v xml:space="preserve"> </v>
      </c>
      <c r="G21" s="281" t="str">
        <f>IF($C21&gt;$B$13,"",Means!G35)</f>
        <v xml:space="preserve"> </v>
      </c>
      <c r="H21" s="281" t="str">
        <f>IF($C21&gt;$B$13,"",Means!H35)</f>
        <v xml:space="preserve"> </v>
      </c>
      <c r="I21" s="77"/>
    </row>
    <row r="22" spans="1:9" x14ac:dyDescent="0.25">
      <c r="A22" s="71"/>
      <c r="B22" s="44" t="str">
        <f>IF($B$13&lt;5.5,"","F")</f>
        <v>F</v>
      </c>
      <c r="C22" s="425">
        <f>IF($B$13&lt;5.5,"",6)</f>
        <v>6</v>
      </c>
      <c r="D22" s="281" t="str">
        <f>IF($C22&gt;$B$13,"",Means!D36)</f>
        <v/>
      </c>
      <c r="E22" s="282" t="str">
        <f>IF($C22&gt;$B$13,"",Means!E36)</f>
        <v xml:space="preserve"> </v>
      </c>
      <c r="F22" s="283" t="str">
        <f>IF($C22&gt;$B$13,"",Means!F36)</f>
        <v xml:space="preserve"> </v>
      </c>
      <c r="G22" s="281" t="str">
        <f>IF($C22&gt;$B$13,"",Means!G36)</f>
        <v xml:space="preserve"> </v>
      </c>
      <c r="H22" s="281" t="str">
        <f>IF($C22&gt;$B$13,"",Means!H36)</f>
        <v xml:space="preserve"> </v>
      </c>
      <c r="I22" s="77"/>
    </row>
    <row r="23" spans="1:9" x14ac:dyDescent="0.25">
      <c r="A23" s="71"/>
      <c r="B23" s="44" t="str">
        <f>IF($B$13&lt;4.5,"","E")</f>
        <v>E</v>
      </c>
      <c r="C23" s="425">
        <f>IF($B$13&lt;4.5,"",5)</f>
        <v>5</v>
      </c>
      <c r="D23" s="281" t="str">
        <f>IF($C23&gt;$B$13,"",Means!D37)</f>
        <v/>
      </c>
      <c r="E23" s="282" t="str">
        <f>IF($C23&gt;$B$13,"",Means!E37)</f>
        <v xml:space="preserve"> </v>
      </c>
      <c r="F23" s="283" t="str">
        <f>IF($C23&gt;$B$13,"",Means!F37)</f>
        <v xml:space="preserve"> </v>
      </c>
      <c r="G23" s="281" t="str">
        <f>IF($C23&gt;$B$13,"",Means!G37)</f>
        <v xml:space="preserve"> </v>
      </c>
      <c r="H23" s="281" t="str">
        <f>IF($C23&gt;$B$13,"",Means!H37)</f>
        <v xml:space="preserve"> </v>
      </c>
      <c r="I23" s="77"/>
    </row>
    <row r="24" spans="1:9" x14ac:dyDescent="0.25">
      <c r="A24" s="71"/>
      <c r="B24" s="44" t="str">
        <f>IF($B$13&lt;3.5,"","D")</f>
        <v>D</v>
      </c>
      <c r="C24" s="425">
        <f>IF($B$13&lt;3.5,"",4)</f>
        <v>4</v>
      </c>
      <c r="D24" s="281">
        <f>IF($C24&gt;$B$13,"",Means!D38)</f>
        <v>2.2465753424657535</v>
      </c>
      <c r="E24" s="282">
        <f>IF($C24&gt;$B$13,"",Means!E38)</f>
        <v>7.2414390534948442E-2</v>
      </c>
      <c r="F24" s="283">
        <f>IF($C24&gt;$B$13,"",Means!F38)</f>
        <v>73</v>
      </c>
      <c r="G24" s="281">
        <f>IF($C24&gt;$B$13,"",Means!G38)</f>
        <v>2.1022198932323093</v>
      </c>
      <c r="H24" s="281">
        <f>IF($C24&gt;$B$13,"",Means!H38)</f>
        <v>2.3909307916991978</v>
      </c>
      <c r="I24" s="77"/>
    </row>
    <row r="25" spans="1:9" x14ac:dyDescent="0.25">
      <c r="A25" s="71"/>
      <c r="B25" s="44" t="str">
        <f>IF($B$13&lt;2.5,"","C")</f>
        <v>C</v>
      </c>
      <c r="C25" s="425">
        <f>IF($B$13&lt;2.5,"",3)</f>
        <v>3</v>
      </c>
      <c r="D25" s="281">
        <f>IF($C25&gt;$B$13,"",Means!D39)</f>
        <v>2.2264150943396226</v>
      </c>
      <c r="E25" s="282">
        <f>IF($C25&gt;$B$13,"",Means!E39)</f>
        <v>9.1913655425478719E-2</v>
      </c>
      <c r="F25" s="283">
        <f>IF($C25&gt;$B$13,"",Means!F39)</f>
        <v>53</v>
      </c>
      <c r="G25" s="281">
        <f>IF($C25&gt;$B$13,"",Means!G39)</f>
        <v>2.041976851338545</v>
      </c>
      <c r="H25" s="281">
        <f>IF($C25&gt;$B$13,"",Means!H39)</f>
        <v>2.4108533373407002</v>
      </c>
      <c r="I25" s="77"/>
    </row>
    <row r="26" spans="1:9" x14ac:dyDescent="0.25">
      <c r="A26" s="71"/>
      <c r="B26" s="44" t="s">
        <v>143</v>
      </c>
      <c r="C26" s="425">
        <v>2</v>
      </c>
      <c r="D26" s="281">
        <f>IF($C26&gt;$B$13,"",Means!D40)</f>
        <v>1.7592592592592593</v>
      </c>
      <c r="E26" s="282">
        <f>IF($C26&gt;$B$13,"",Means!E40)</f>
        <v>0.10552582120708277</v>
      </c>
      <c r="F26" s="283">
        <f>IF($C26&gt;$B$13,"",Means!F40)</f>
        <v>54</v>
      </c>
      <c r="G26" s="281">
        <f>IF($C26&gt;$B$13,"",Means!G40)</f>
        <v>1.5476012659705236</v>
      </c>
      <c r="H26" s="281">
        <f>IF($C26&gt;$B$13,"",Means!H40)</f>
        <v>1.970917252547995</v>
      </c>
      <c r="I26" s="77"/>
    </row>
    <row r="27" spans="1:9" ht="13.8" thickBot="1" x14ac:dyDescent="0.3">
      <c r="A27" s="71"/>
      <c r="B27" s="43" t="s">
        <v>142</v>
      </c>
      <c r="C27" s="426">
        <v>1</v>
      </c>
      <c r="D27" s="281">
        <f>IF($C27&gt;$B$13,"",Means!D41)</f>
        <v>1.323076923076923</v>
      </c>
      <c r="E27" s="282">
        <f>IF($C27&gt;$B$13,"",Means!E41)</f>
        <v>6.2433396464415106E-2</v>
      </c>
      <c r="F27" s="283">
        <f>IF($C27&gt;$B$13,"",Means!F41)</f>
        <v>65</v>
      </c>
      <c r="G27" s="281">
        <f>IF($C27&gt;$B$13,"",Means!G41)</f>
        <v>1.1983518755401874</v>
      </c>
      <c r="H27" s="281">
        <f>IF($C27&gt;$B$13,"",Means!H41)</f>
        <v>1.4478019706136587</v>
      </c>
      <c r="I27" s="77"/>
    </row>
    <row r="28" spans="1:9" ht="13.8" thickBot="1" x14ac:dyDescent="0.3">
      <c r="A28" s="71"/>
      <c r="B28" s="217"/>
      <c r="C28" s="216" t="s">
        <v>35</v>
      </c>
      <c r="D28" s="284">
        <f>Means!D42</f>
        <v>1.8897959183673469</v>
      </c>
      <c r="E28" s="285">
        <f>Means!E42</f>
        <v>4.7701342008092472E-2</v>
      </c>
      <c r="F28" s="286">
        <f>Means!F42</f>
        <v>245</v>
      </c>
      <c r="G28" s="284">
        <f>Means!G42</f>
        <v>1.7958369635369966</v>
      </c>
      <c r="H28" s="284">
        <f>Means!H42</f>
        <v>1.9837548731976973</v>
      </c>
      <c r="I28" s="77"/>
    </row>
    <row r="29" spans="1:9" x14ac:dyDescent="0.25">
      <c r="A29" s="71"/>
      <c r="G29" s="11"/>
      <c r="H29" s="11"/>
      <c r="I29" s="77"/>
    </row>
    <row r="30" spans="1:9" ht="13.8" thickBot="1" x14ac:dyDescent="0.3">
      <c r="A30" s="71"/>
      <c r="B30" s="58" t="s">
        <v>48</v>
      </c>
      <c r="C30" s="54"/>
      <c r="D30" s="55"/>
      <c r="E30" s="56"/>
      <c r="F30" s="54"/>
      <c r="G30" s="54"/>
      <c r="H30" s="11"/>
      <c r="I30" s="77"/>
    </row>
    <row r="31" spans="1:9" x14ac:dyDescent="0.25">
      <c r="A31" s="71"/>
      <c r="B31" s="587" t="str">
        <f>IF(Input!F10&lt;7,"HOWEVER:   Linear scale transformation is not recommended","")</f>
        <v>HOWEVER:   Linear scale transformation is not recommended</v>
      </c>
      <c r="C31" s="599"/>
      <c r="D31" s="599"/>
      <c r="E31" s="599"/>
      <c r="F31" s="599"/>
      <c r="G31" s="599"/>
      <c r="H31" s="599"/>
      <c r="I31" s="77"/>
    </row>
    <row r="32" spans="1:9" ht="13.8" thickBot="1" x14ac:dyDescent="0.3">
      <c r="A32" s="71"/>
      <c r="B32" s="587" t="str">
        <f>IF(Input!F10&lt;7,"                     in case of scales with &lt; 7 possible ratings !","")</f>
        <v xml:space="preserve">                     in case of scales with &lt; 7 possible ratings !</v>
      </c>
      <c r="C32" s="600"/>
      <c r="D32" s="600"/>
      <c r="E32" s="600"/>
      <c r="F32" s="600"/>
      <c r="G32" s="600"/>
      <c r="H32" s="600"/>
      <c r="I32" s="77"/>
    </row>
    <row r="33" spans="1:9" ht="14.4" thickBot="1" x14ac:dyDescent="0.35">
      <c r="A33" s="71"/>
      <c r="B33" s="287" t="s">
        <v>208</v>
      </c>
      <c r="C33" s="216"/>
      <c r="D33" s="288" t="s">
        <v>24</v>
      </c>
      <c r="E33" s="1" t="s">
        <v>26</v>
      </c>
      <c r="F33" s="289" t="s">
        <v>33</v>
      </c>
      <c r="G33" s="365" t="s">
        <v>207</v>
      </c>
      <c r="H33" s="290"/>
      <c r="I33" s="77"/>
    </row>
    <row r="34" spans="1:9" ht="14.4" thickBot="1" x14ac:dyDescent="0.35">
      <c r="A34" s="71"/>
      <c r="B34" s="423" t="s">
        <v>153</v>
      </c>
      <c r="C34" s="364" t="s">
        <v>106</v>
      </c>
      <c r="D34" s="291" t="s">
        <v>25</v>
      </c>
      <c r="E34" s="215" t="s">
        <v>27</v>
      </c>
      <c r="F34" s="292" t="s">
        <v>34</v>
      </c>
      <c r="G34" s="293" t="s">
        <v>28</v>
      </c>
      <c r="H34" s="294" t="s">
        <v>29</v>
      </c>
      <c r="I34" s="77"/>
    </row>
    <row r="35" spans="1:9" x14ac:dyDescent="0.25">
      <c r="A35" s="71"/>
      <c r="B35" s="422" t="str">
        <f>IF($B$13&lt;11.5,"","L")</f>
        <v>L</v>
      </c>
      <c r="C35" s="424">
        <f>IF($B$13&lt;11.5,"",12)</f>
        <v>12</v>
      </c>
      <c r="D35" s="281" t="str">
        <f>IF($C35&gt;$B$13,"",Means!C48)</f>
        <v/>
      </c>
      <c r="E35" s="282" t="str">
        <f>IF($C35&gt;$B$13,"",Means!D48)</f>
        <v xml:space="preserve"> </v>
      </c>
      <c r="F35" s="283" t="str">
        <f>IF($C35&gt;$B$13,"",Means!E48)</f>
        <v xml:space="preserve"> </v>
      </c>
      <c r="G35" s="281" t="str">
        <f>IF($C35&gt;$B$13,"",Means!F48)</f>
        <v xml:space="preserve"> </v>
      </c>
      <c r="H35" s="281" t="str">
        <f>IF($C35&gt;$B$13,"",Means!G48)</f>
        <v xml:space="preserve"> </v>
      </c>
      <c r="I35" s="77"/>
    </row>
    <row r="36" spans="1:9" x14ac:dyDescent="0.25">
      <c r="A36" s="71"/>
      <c r="B36" s="44" t="str">
        <f>IF($B$13&lt;10.5,"","K")</f>
        <v>K</v>
      </c>
      <c r="C36" s="425">
        <f>IF($B$13&lt;10.5,"",11)</f>
        <v>11</v>
      </c>
      <c r="D36" s="281" t="str">
        <f>IF($C36&gt;$B$13,"",Means!C49)</f>
        <v/>
      </c>
      <c r="E36" s="282" t="str">
        <f>IF($C36&gt;$B$13,"",Means!D49)</f>
        <v xml:space="preserve"> </v>
      </c>
      <c r="F36" s="283" t="str">
        <f>IF($C36&gt;$B$13,"",Means!E49)</f>
        <v xml:space="preserve"> </v>
      </c>
      <c r="G36" s="281" t="str">
        <f>IF($C36&gt;$B$13,"",Means!F49)</f>
        <v xml:space="preserve"> </v>
      </c>
      <c r="H36" s="281" t="str">
        <f>IF($C36&gt;$B$13,"",Means!G49)</f>
        <v xml:space="preserve"> </v>
      </c>
      <c r="I36" s="77"/>
    </row>
    <row r="37" spans="1:9" x14ac:dyDescent="0.25">
      <c r="A37" s="71"/>
      <c r="B37" s="44" t="str">
        <f>IF($B$13&lt;9.5,"","J")</f>
        <v>J</v>
      </c>
      <c r="C37" s="425">
        <f>IF($B$13&lt;9.5,"",10)</f>
        <v>10</v>
      </c>
      <c r="D37" s="281" t="str">
        <f>IF($C37&gt;$B$13,"",Means!C50)</f>
        <v/>
      </c>
      <c r="E37" s="282" t="str">
        <f>IF($C37&gt;$B$13,"",Means!D50)</f>
        <v xml:space="preserve"> </v>
      </c>
      <c r="F37" s="283" t="str">
        <f>IF($C37&gt;$B$13,"",Means!E50)</f>
        <v xml:space="preserve"> </v>
      </c>
      <c r="G37" s="281" t="str">
        <f>IF($C37&gt;$B$13,"",Means!F50)</f>
        <v xml:space="preserve"> </v>
      </c>
      <c r="H37" s="281" t="str">
        <f>IF($C37&gt;$B$13,"",Means!G50)</f>
        <v xml:space="preserve"> </v>
      </c>
      <c r="I37" s="77"/>
    </row>
    <row r="38" spans="1:9" x14ac:dyDescent="0.25">
      <c r="A38" s="71"/>
      <c r="B38" s="44" t="str">
        <f>IF($B$13&lt;8.5,"","I")</f>
        <v>I</v>
      </c>
      <c r="C38" s="425">
        <f>IF($B$13&lt;8.5,"",9)</f>
        <v>9</v>
      </c>
      <c r="D38" s="281" t="str">
        <f>IF($C38&gt;$B$13,"",Means!C51)</f>
        <v/>
      </c>
      <c r="E38" s="282" t="str">
        <f>IF($C38&gt;$B$13,"",Means!D51)</f>
        <v xml:space="preserve"> </v>
      </c>
      <c r="F38" s="283" t="str">
        <f>IF($C38&gt;$B$13,"",Means!E51)</f>
        <v xml:space="preserve"> </v>
      </c>
      <c r="G38" s="281" t="str">
        <f>IF($C38&gt;$B$13,"",Means!F51)</f>
        <v xml:space="preserve"> </v>
      </c>
      <c r="H38" s="281" t="str">
        <f>IF($C38&gt;$B$13,"",Means!G51)</f>
        <v xml:space="preserve"> </v>
      </c>
      <c r="I38" s="77"/>
    </row>
    <row r="39" spans="1:9" x14ac:dyDescent="0.25">
      <c r="A39" s="71"/>
      <c r="B39" s="44" t="str">
        <f>IF($B$13&lt;7.5,"","H")</f>
        <v>H</v>
      </c>
      <c r="C39" s="425">
        <f>IF($B$13&lt;7.5,"",8)</f>
        <v>8</v>
      </c>
      <c r="D39" s="281" t="str">
        <f>IF($C39&gt;$B$13,"",Means!C52)</f>
        <v/>
      </c>
      <c r="E39" s="282" t="str">
        <f>IF($C39&gt;$B$13,"",Means!D52)</f>
        <v xml:space="preserve"> </v>
      </c>
      <c r="F39" s="283" t="str">
        <f>IF($C39&gt;$B$13,"",Means!E52)</f>
        <v xml:space="preserve"> </v>
      </c>
      <c r="G39" s="281" t="str">
        <f>IF($C39&gt;$B$13,"",Means!F52)</f>
        <v xml:space="preserve"> </v>
      </c>
      <c r="H39" s="281" t="str">
        <f>IF($C39&gt;$B$13,"",Means!G52)</f>
        <v xml:space="preserve"> </v>
      </c>
      <c r="I39" s="77"/>
    </row>
    <row r="40" spans="1:9" x14ac:dyDescent="0.25">
      <c r="A40" s="71"/>
      <c r="B40" s="44" t="str">
        <f>IF($B$13&lt;6.5,"","G")</f>
        <v>G</v>
      </c>
      <c r="C40" s="425">
        <f>IF($B$13&lt;6.5,"",7)</f>
        <v>7</v>
      </c>
      <c r="D40" s="281" t="str">
        <f>IF($C40&gt;$B$13,"",Means!C53)</f>
        <v/>
      </c>
      <c r="E40" s="282" t="str">
        <f>IF($C40&gt;$B$13,"",Means!D53)</f>
        <v xml:space="preserve"> </v>
      </c>
      <c r="F40" s="283" t="str">
        <f>IF($C40&gt;$B$13,"",Means!E53)</f>
        <v xml:space="preserve"> </v>
      </c>
      <c r="G40" s="281" t="str">
        <f>IF($C40&gt;$B$13,"",Means!F53)</f>
        <v xml:space="preserve"> </v>
      </c>
      <c r="H40" s="281" t="str">
        <f>IF($C40&gt;$B$13,"",Means!G53)</f>
        <v xml:space="preserve"> </v>
      </c>
      <c r="I40" s="77"/>
    </row>
    <row r="41" spans="1:9" x14ac:dyDescent="0.25">
      <c r="A41" s="71"/>
      <c r="B41" s="44" t="str">
        <f>IF($B$13&lt;5.5,"","F")</f>
        <v>F</v>
      </c>
      <c r="C41" s="425">
        <f>IF($B$13&lt;5.5,"",6)</f>
        <v>6</v>
      </c>
      <c r="D41" s="281" t="str">
        <f>IF($C41&gt;$B$13,"",Means!C54)</f>
        <v/>
      </c>
      <c r="E41" s="282" t="str">
        <f>IF($C41&gt;$B$13,"",Means!D54)</f>
        <v xml:space="preserve"> </v>
      </c>
      <c r="F41" s="283" t="str">
        <f>IF($C41&gt;$B$13,"",Means!E54)</f>
        <v xml:space="preserve"> </v>
      </c>
      <c r="G41" s="281" t="str">
        <f>IF($C41&gt;$B$13,"",Means!F54)</f>
        <v xml:space="preserve"> </v>
      </c>
      <c r="H41" s="281" t="str">
        <f>IF($C41&gt;$B$13,"",Means!G54)</f>
        <v xml:space="preserve"> </v>
      </c>
      <c r="I41" s="77"/>
    </row>
    <row r="42" spans="1:9" x14ac:dyDescent="0.25">
      <c r="A42" s="71"/>
      <c r="B42" s="44" t="str">
        <f>IF($B$13&lt;4.5,"","E")</f>
        <v>E</v>
      </c>
      <c r="C42" s="425">
        <f>IF($B$13&lt;4.5,"",5)</f>
        <v>5</v>
      </c>
      <c r="D42" s="281" t="str">
        <f>IF($C42&gt;$B$13,"",Means!C55)</f>
        <v/>
      </c>
      <c r="E42" s="282" t="str">
        <f>IF($C42&gt;$B$13,"",Means!D55)</f>
        <v xml:space="preserve"> </v>
      </c>
      <c r="F42" s="283" t="str">
        <f>IF($C42&gt;$B$13,"",Means!E55)</f>
        <v xml:space="preserve"> </v>
      </c>
      <c r="G42" s="281" t="str">
        <f>IF($C42&gt;$B$13,"",Means!F55)</f>
        <v xml:space="preserve"> </v>
      </c>
      <c r="H42" s="281" t="str">
        <f>IF($C42&gt;$B$13,"",Means!G55)</f>
        <v xml:space="preserve"> </v>
      </c>
      <c r="I42" s="77"/>
    </row>
    <row r="43" spans="1:9" x14ac:dyDescent="0.25">
      <c r="A43" s="71"/>
      <c r="B43" s="44" t="str">
        <f>IF($B$13&lt;3.5,"","D")</f>
        <v>D</v>
      </c>
      <c r="C43" s="425">
        <f>IF($B$13&lt;3.5,"",4)</f>
        <v>4</v>
      </c>
      <c r="D43" s="281">
        <f>IF($C43&gt;$B$13,"",Means!C56)</f>
        <v>6.2331767123287678</v>
      </c>
      <c r="E43" s="282">
        <f>IF($C43&gt;$B$13,"",Means!D56)</f>
        <v>0.36207195267474224</v>
      </c>
      <c r="F43" s="283">
        <f>IF($C43&gt;$B$13,"",Means!E56)</f>
        <v>73</v>
      </c>
      <c r="G43" s="281">
        <f>IF($C43&gt;$B$13,"",Means!F56)</f>
        <v>5.5113994661615475</v>
      </c>
      <c r="H43" s="281">
        <f>IF($C43&gt;$B$13,"",Means!G56)</f>
        <v>6.9549539584959881</v>
      </c>
      <c r="I43" s="77"/>
    </row>
    <row r="44" spans="1:9" x14ac:dyDescent="0.25">
      <c r="A44" s="71"/>
      <c r="B44" s="44" t="str">
        <f>IF($B$13&lt;2.5,"","C")</f>
        <v>C</v>
      </c>
      <c r="C44" s="425">
        <f>IF($B$13&lt;2.5,"",3)</f>
        <v>3</v>
      </c>
      <c r="D44" s="281">
        <f>IF($C44&gt;$B$13,"",Means!C57)</f>
        <v>6.132475471698112</v>
      </c>
      <c r="E44" s="282">
        <f>IF($C44&gt;$B$13,"",Means!D57)</f>
        <v>0.45956827712739357</v>
      </c>
      <c r="F44" s="283">
        <f>IF($C44&gt;$B$13,"",Means!E57)</f>
        <v>53</v>
      </c>
      <c r="G44" s="281">
        <f>IF($C44&gt;$B$13,"",Means!F57)</f>
        <v>5.2102842566927237</v>
      </c>
      <c r="H44" s="281">
        <f>IF($C44&gt;$B$13,"",Means!G57)</f>
        <v>7.0546666867035004</v>
      </c>
      <c r="I44" s="77"/>
    </row>
    <row r="45" spans="1:9" x14ac:dyDescent="0.25">
      <c r="A45" s="71"/>
      <c r="B45" s="44" t="s">
        <v>143</v>
      </c>
      <c r="C45" s="44">
        <v>2</v>
      </c>
      <c r="D45" s="281">
        <f>IF($C45&gt;$B$13,"",Means!C58)</f>
        <v>3.796796296296296</v>
      </c>
      <c r="E45" s="282">
        <f>IF($C45&gt;$B$13,"",Means!D58)</f>
        <v>0.52762910603541391</v>
      </c>
      <c r="F45" s="283">
        <f>IF($C45&gt;$B$13,"",Means!E58)</f>
        <v>54</v>
      </c>
      <c r="G45" s="281">
        <f>IF($C45&gt;$B$13,"",Means!F58)</f>
        <v>2.7385063298526169</v>
      </c>
      <c r="H45" s="281">
        <f>IF($C45&gt;$B$13,"",Means!G58)</f>
        <v>4.8550862627399756</v>
      </c>
      <c r="I45" s="77"/>
    </row>
    <row r="46" spans="1:9" ht="13.8" thickBot="1" x14ac:dyDescent="0.3">
      <c r="A46" s="71"/>
      <c r="B46" s="43" t="s">
        <v>142</v>
      </c>
      <c r="C46" s="423">
        <v>1</v>
      </c>
      <c r="D46" s="561">
        <f>IF($C46&gt;$B$13,"",Means!C59)</f>
        <v>1.6159846153846149</v>
      </c>
      <c r="E46" s="562">
        <f>IF($C46&gt;$B$13,"",Means!D59)</f>
        <v>0.31216698232207551</v>
      </c>
      <c r="F46" s="563">
        <f>IF($C46&gt;$B$13,"",Means!E59)</f>
        <v>65</v>
      </c>
      <c r="G46" s="561">
        <f>IF($C46&gt;$B$13,"",Means!F59)</f>
        <v>0.99235937770093685</v>
      </c>
      <c r="H46" s="561">
        <f>IF($C46&gt;$B$13,"",Means!G59)</f>
        <v>2.2396098530682931</v>
      </c>
      <c r="I46" s="77"/>
    </row>
    <row r="47" spans="1:9" ht="13.8" thickBot="1" x14ac:dyDescent="0.3">
      <c r="A47" s="71"/>
      <c r="B47" s="217"/>
      <c r="C47" s="216" t="s">
        <v>35</v>
      </c>
      <c r="D47" s="284">
        <f>Means!C60</f>
        <v>4.4489795918367356</v>
      </c>
      <c r="E47" s="285">
        <f>Means!D60</f>
        <v>0.23850671004046237</v>
      </c>
      <c r="F47" s="286">
        <f>Means!E60</f>
        <v>245</v>
      </c>
      <c r="G47" s="284">
        <f>Means!F60</f>
        <v>3.9791848176849847</v>
      </c>
      <c r="H47" s="284">
        <f>Means!G60</f>
        <v>4.9187743659884866</v>
      </c>
      <c r="I47" s="77"/>
    </row>
    <row r="48" spans="1:9" x14ac:dyDescent="0.25">
      <c r="A48" s="71"/>
      <c r="B48" s="60"/>
      <c r="C48" s="61"/>
      <c r="D48" s="62"/>
      <c r="E48" s="63"/>
      <c r="F48" s="61"/>
      <c r="G48" s="61"/>
      <c r="H48" s="105"/>
      <c r="I48" s="77"/>
    </row>
    <row r="49" spans="1:13" x14ac:dyDescent="0.25">
      <c r="A49" s="57"/>
      <c r="B49" s="118" t="s">
        <v>76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3" x14ac:dyDescent="0.25">
      <c r="A50" s="57"/>
      <c r="B50" s="119" t="s">
        <v>77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3" x14ac:dyDescent="0.25">
      <c r="A51" s="57"/>
      <c r="B51" t="s">
        <v>73</v>
      </c>
      <c r="D51" s="164" t="s">
        <v>68</v>
      </c>
      <c r="F51" s="164" t="s">
        <v>69</v>
      </c>
      <c r="G51" s="11"/>
      <c r="H51" s="164" t="s">
        <v>74</v>
      </c>
      <c r="J51" s="164" t="s">
        <v>249</v>
      </c>
    </row>
    <row r="52" spans="1:13" x14ac:dyDescent="0.25">
      <c r="A52" s="57"/>
      <c r="B52" s="119" t="s">
        <v>77</v>
      </c>
      <c r="F52" s="164"/>
    </row>
    <row r="53" spans="1:13" x14ac:dyDescent="0.25">
      <c r="A53" s="57"/>
      <c r="B53" t="s">
        <v>70</v>
      </c>
      <c r="D53" s="93">
        <f>MulComp!E7</f>
        <v>37.09407210662242</v>
      </c>
      <c r="E53" s="93"/>
      <c r="F53" s="93">
        <f>MulComp!G7</f>
        <v>3</v>
      </c>
      <c r="G53" s="93"/>
      <c r="H53" s="420">
        <f>MulComp!I7</f>
        <v>12.364690702207474</v>
      </c>
      <c r="I53" s="93"/>
      <c r="J53" s="421">
        <f>MulComp!K7</f>
        <v>30.121074274554672</v>
      </c>
      <c r="K53" s="93"/>
    </row>
    <row r="54" spans="1:13" ht="13.8" thickBot="1" x14ac:dyDescent="0.3">
      <c r="A54" s="57"/>
      <c r="B54" t="s">
        <v>71</v>
      </c>
      <c r="D54" s="93">
        <f>MulComp!E8</f>
        <v>98.930417689295965</v>
      </c>
      <c r="E54" s="93"/>
      <c r="F54" s="93">
        <f>MulComp!G8</f>
        <v>241</v>
      </c>
      <c r="G54" s="93"/>
      <c r="H54" s="421">
        <f>MulComp!I8</f>
        <v>0.41049965846180897</v>
      </c>
      <c r="I54" s="93"/>
      <c r="J54" s="93"/>
      <c r="K54" s="93"/>
    </row>
    <row r="55" spans="1:13" ht="13.8" thickBot="1" x14ac:dyDescent="0.3">
      <c r="A55" s="57"/>
      <c r="B55" s="120" t="s">
        <v>78</v>
      </c>
      <c r="D55" s="93"/>
      <c r="E55" s="93"/>
      <c r="F55" s="93"/>
      <c r="J55" s="121" t="s">
        <v>80</v>
      </c>
    </row>
    <row r="56" spans="1:13" x14ac:dyDescent="0.25">
      <c r="A56" s="57"/>
      <c r="B56" t="s">
        <v>72</v>
      </c>
      <c r="D56" s="93">
        <f>MulComp!E10</f>
        <v>136.02448979591838</v>
      </c>
      <c r="E56" s="93"/>
      <c r="F56" s="93">
        <f>MulComp!G10</f>
        <v>244</v>
      </c>
      <c r="J56" s="270" t="str">
        <f>IF(FDIST($J$53,$F$53,$F$54)&lt;0.001,"",FDIST(J$53,F$53,F$54))</f>
        <v/>
      </c>
    </row>
    <row r="57" spans="1:13" ht="14.25" customHeight="1" thickBot="1" x14ac:dyDescent="0.3">
      <c r="A57" s="57"/>
      <c r="B57" s="120" t="s">
        <v>79</v>
      </c>
      <c r="J57" s="271">
        <f>IF(FDIST(J$53,F$53,F$54)&lt;0.001,FDIST(J$53,F$53,F$54),"  ")</f>
        <v>1.4230355242972217E-16</v>
      </c>
    </row>
    <row r="58" spans="1:13" x14ac:dyDescent="0.25">
      <c r="A58" s="57"/>
      <c r="B58" t="s">
        <v>91</v>
      </c>
      <c r="D58" s="29">
        <f>SQRT(H54)</f>
        <v>0.640702472651549</v>
      </c>
    </row>
    <row r="59" spans="1:13" ht="14.25" customHeight="1" x14ac:dyDescent="0.25"/>
    <row r="60" spans="1:13" ht="14.25" customHeight="1" x14ac:dyDescent="0.25">
      <c r="B60" s="428" t="str">
        <f>IF(FDIST($J$53,$F$53,$F$54)&gt;0.05,"No significant differences between the correlate levels have been detected at the 5% level.","")</f>
        <v/>
      </c>
    </row>
    <row r="61" spans="1:13" ht="14.25" customHeight="1" x14ac:dyDescent="0.25"/>
    <row r="62" spans="1:13" x14ac:dyDescent="0.25">
      <c r="A62" s="122"/>
      <c r="B62" s="57"/>
      <c r="C62" s="124" t="s">
        <v>121</v>
      </c>
    </row>
    <row r="63" spans="1:13" x14ac:dyDescent="0.25">
      <c r="A63" s="122"/>
      <c r="B63" s="57"/>
    </row>
    <row r="64" spans="1:13" x14ac:dyDescent="0.25">
      <c r="B64" s="8" t="s">
        <v>177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94"/>
    </row>
    <row r="65" spans="1:17" x14ac:dyDescent="0.25">
      <c r="B65" s="8" t="s">
        <v>81</v>
      </c>
      <c r="C65" s="8"/>
      <c r="D65" s="8"/>
      <c r="E65" s="8"/>
      <c r="F65" s="8"/>
      <c r="G65" s="126" t="s">
        <v>83</v>
      </c>
      <c r="H65" s="8"/>
      <c r="I65" s="8"/>
      <c r="J65" s="8"/>
      <c r="K65" s="8"/>
      <c r="L65" s="8" t="s">
        <v>82</v>
      </c>
      <c r="M65" s="94"/>
    </row>
    <row r="66" spans="1:17" x14ac:dyDescent="0.25">
      <c r="B66" s="8" t="s">
        <v>88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94"/>
    </row>
    <row r="67" spans="1:17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94"/>
    </row>
    <row r="68" spans="1:17" ht="13.8" thickBot="1" x14ac:dyDescent="0.3">
      <c r="A68" s="312"/>
      <c r="B68" s="228">
        <f>MulComp!B22</f>
        <v>12</v>
      </c>
      <c r="C68" s="228">
        <f>MulComp!C22</f>
        <v>11</v>
      </c>
      <c r="D68" s="228">
        <f>MulComp!D22</f>
        <v>10</v>
      </c>
      <c r="E68" s="228">
        <f>MulComp!E22</f>
        <v>9</v>
      </c>
      <c r="F68" s="228">
        <f>MulComp!F22</f>
        <v>8</v>
      </c>
      <c r="G68" s="228">
        <f>MulComp!G22</f>
        <v>7</v>
      </c>
      <c r="H68" s="228">
        <f>MulComp!H22</f>
        <v>6</v>
      </c>
      <c r="I68" s="228">
        <f>MulComp!I22</f>
        <v>5</v>
      </c>
      <c r="J68" s="228">
        <f>MulComp!J22</f>
        <v>4</v>
      </c>
      <c r="K68" s="228">
        <f>MulComp!K22</f>
        <v>3</v>
      </c>
      <c r="L68" s="228">
        <f>MulComp!L22</f>
        <v>2</v>
      </c>
      <c r="M68" s="228">
        <f>MulComp!M22</f>
        <v>1</v>
      </c>
      <c r="N68" s="71"/>
      <c r="O68" s="71"/>
      <c r="P68" s="71"/>
      <c r="Q68" s="71"/>
    </row>
    <row r="69" spans="1:17" x14ac:dyDescent="0.25">
      <c r="A69" s="312"/>
      <c r="B69" s="303" t="str">
        <f>MulComp!B23</f>
        <v xml:space="preserve"> </v>
      </c>
      <c r="C69" s="304" t="str">
        <f>MulComp!C23</f>
        <v xml:space="preserve"> </v>
      </c>
      <c r="D69" s="304" t="str">
        <f>MulComp!D23</f>
        <v xml:space="preserve"> </v>
      </c>
      <c r="E69" s="304" t="str">
        <f>MulComp!E23</f>
        <v xml:space="preserve"> </v>
      </c>
      <c r="F69" s="304" t="str">
        <f>MulComp!F23</f>
        <v xml:space="preserve"> </v>
      </c>
      <c r="G69" s="304" t="str">
        <f>MulComp!G23</f>
        <v xml:space="preserve"> </v>
      </c>
      <c r="H69" s="304" t="str">
        <f>MulComp!H23</f>
        <v xml:space="preserve"> </v>
      </c>
      <c r="I69" s="304" t="str">
        <f>MulComp!I23</f>
        <v xml:space="preserve"> </v>
      </c>
      <c r="J69" s="304">
        <f>MulComp!J23</f>
        <v>1.6159846153846149</v>
      </c>
      <c r="K69" s="304">
        <f>MulComp!K23</f>
        <v>3.796796296296296</v>
      </c>
      <c r="L69" s="304">
        <f>MulComp!L23</f>
        <v>6.132475471698112</v>
      </c>
      <c r="M69" s="305">
        <f>MulComp!M23</f>
        <v>6.2331767123287678</v>
      </c>
      <c r="N69" s="71" t="str">
        <f>MulComp!N23</f>
        <v>Average value</v>
      </c>
      <c r="O69" s="71"/>
      <c r="P69" s="71"/>
      <c r="Q69" s="71"/>
    </row>
    <row r="70" spans="1:17" x14ac:dyDescent="0.25">
      <c r="A70" s="312"/>
      <c r="B70" s="306" t="str">
        <f>MulComp!B24</f>
        <v xml:space="preserve">   </v>
      </c>
      <c r="C70" s="307" t="str">
        <f>MulComp!C24</f>
        <v xml:space="preserve">   </v>
      </c>
      <c r="D70" s="307" t="str">
        <f>MulComp!D24</f>
        <v xml:space="preserve">   </v>
      </c>
      <c r="E70" s="307" t="str">
        <f>MulComp!E24</f>
        <v xml:space="preserve">   </v>
      </c>
      <c r="F70" s="307" t="str">
        <f>MulComp!F24</f>
        <v xml:space="preserve">   </v>
      </c>
      <c r="G70" s="307" t="str">
        <f>MulComp!G24</f>
        <v xml:space="preserve">   </v>
      </c>
      <c r="H70" s="307" t="str">
        <f>MulComp!H24</f>
        <v xml:space="preserve">   </v>
      </c>
      <c r="I70" s="307" t="str">
        <f>MulComp!I24</f>
        <v xml:space="preserve">   </v>
      </c>
      <c r="J70" s="307" t="str">
        <f>MulComp!J24</f>
        <v>A</v>
      </c>
      <c r="K70" s="307" t="str">
        <f>MulComp!K24</f>
        <v>B</v>
      </c>
      <c r="L70" s="307" t="str">
        <f>MulComp!L24</f>
        <v>C</v>
      </c>
      <c r="M70" s="308" t="str">
        <f>MulComp!M24</f>
        <v>D</v>
      </c>
      <c r="N70" s="71" t="str">
        <f>MulComp!N24</f>
        <v>Correlate value level code.</v>
      </c>
      <c r="O70" s="71"/>
      <c r="P70" s="71"/>
      <c r="Q70" s="71"/>
    </row>
    <row r="71" spans="1:17" ht="13.8" thickBot="1" x14ac:dyDescent="0.3">
      <c r="A71" s="312"/>
      <c r="B71" s="309" t="str">
        <f>MulComp!B25</f>
        <v xml:space="preserve">   </v>
      </c>
      <c r="C71" s="310" t="str">
        <f>MulComp!C25</f>
        <v xml:space="preserve">   </v>
      </c>
      <c r="D71" s="310" t="str">
        <f>MulComp!D25</f>
        <v xml:space="preserve">   </v>
      </c>
      <c r="E71" s="310" t="str">
        <f>MulComp!E25</f>
        <v xml:space="preserve">   </v>
      </c>
      <c r="F71" s="310" t="str">
        <f>MulComp!F25</f>
        <v xml:space="preserve">   </v>
      </c>
      <c r="G71" s="310" t="str">
        <f>MulComp!G25</f>
        <v xml:space="preserve">   </v>
      </c>
      <c r="H71" s="310" t="str">
        <f>MulComp!H25</f>
        <v xml:space="preserve">   </v>
      </c>
      <c r="I71" s="310" t="str">
        <f>MulComp!I25</f>
        <v xml:space="preserve">   </v>
      </c>
      <c r="J71" s="310">
        <f>MulComp!J25</f>
        <v>1</v>
      </c>
      <c r="K71" s="310">
        <f>MulComp!K25</f>
        <v>2</v>
      </c>
      <c r="L71" s="310">
        <f>MulComp!L25</f>
        <v>3</v>
      </c>
      <c r="M71" s="311">
        <f>MulComp!M25</f>
        <v>4</v>
      </c>
      <c r="N71" s="71"/>
      <c r="O71" s="71"/>
      <c r="P71" s="71"/>
      <c r="Q71" s="71"/>
    </row>
    <row r="72" spans="1:17" x14ac:dyDescent="0.25">
      <c r="A72" s="312">
        <f>MulComp!A26</f>
        <v>1</v>
      </c>
      <c r="B72" s="296" t="str">
        <f>MulComp!B26</f>
        <v>X</v>
      </c>
      <c r="C72" s="297" t="str">
        <f>MulComp!C26</f>
        <v>X</v>
      </c>
      <c r="D72" s="297" t="str">
        <f>MulComp!D26</f>
        <v>X</v>
      </c>
      <c r="E72" s="297" t="str">
        <f>MulComp!E26</f>
        <v>X</v>
      </c>
      <c r="F72" s="297" t="str">
        <f>MulComp!F26</f>
        <v>X</v>
      </c>
      <c r="G72" s="297" t="str">
        <f>MulComp!G26</f>
        <v>X</v>
      </c>
      <c r="H72" s="297" t="str">
        <f>MulComp!H26</f>
        <v>X</v>
      </c>
      <c r="I72" s="297" t="str">
        <f>MulComp!I26</f>
        <v>X</v>
      </c>
      <c r="J72" s="297" t="str">
        <f>MulComp!J26</f>
        <v xml:space="preserve"> </v>
      </c>
      <c r="K72" s="297" t="str">
        <f>MulComp!K26</f>
        <v xml:space="preserve"> </v>
      </c>
      <c r="L72" s="297" t="str">
        <f>MulComp!L26</f>
        <v>-------------</v>
      </c>
      <c r="M72" s="298" t="str">
        <f>MulComp!M26</f>
        <v>-------------</v>
      </c>
      <c r="N72" s="363">
        <f>MulComp!N26</f>
        <v>4</v>
      </c>
      <c r="O72" s="230">
        <f>MulComp!O26</f>
        <v>6.2331767123287678</v>
      </c>
      <c r="P72" s="312"/>
      <c r="Q72" s="71"/>
    </row>
    <row r="73" spans="1:17" x14ac:dyDescent="0.25">
      <c r="A73" s="312">
        <f>MulComp!A27</f>
        <v>2</v>
      </c>
      <c r="B73" s="299" t="str">
        <f>MulComp!B27</f>
        <v>X</v>
      </c>
      <c r="C73" s="300" t="str">
        <f>MulComp!C27</f>
        <v>X</v>
      </c>
      <c r="D73" s="300" t="str">
        <f>MulComp!D27</f>
        <v>X</v>
      </c>
      <c r="E73" s="300" t="str">
        <f>MulComp!E27</f>
        <v>X</v>
      </c>
      <c r="F73" s="300" t="str">
        <f>MulComp!F27</f>
        <v>X</v>
      </c>
      <c r="G73" s="300" t="str">
        <f>MulComp!G27</f>
        <v>X</v>
      </c>
      <c r="H73" s="300" t="str">
        <f>MulComp!H27</f>
        <v>X</v>
      </c>
      <c r="I73" s="300" t="str">
        <f>MulComp!I27</f>
        <v>X</v>
      </c>
      <c r="J73" s="300" t="str">
        <f>MulComp!J27</f>
        <v xml:space="preserve"> </v>
      </c>
      <c r="K73" s="300" t="str">
        <f>MulComp!K27</f>
        <v xml:space="preserve"> </v>
      </c>
      <c r="L73" s="300" t="str">
        <f>MulComp!L27</f>
        <v>-------------</v>
      </c>
      <c r="M73" s="301">
        <v>0</v>
      </c>
      <c r="N73" s="363">
        <f>MulComp!N27</f>
        <v>3</v>
      </c>
      <c r="O73" s="230">
        <f>MulComp!O27</f>
        <v>6.132475471698112</v>
      </c>
      <c r="P73" s="312"/>
      <c r="Q73" s="71"/>
    </row>
    <row r="74" spans="1:17" x14ac:dyDescent="0.25">
      <c r="A74" s="312">
        <f>MulComp!A28</f>
        <v>3</v>
      </c>
      <c r="B74" s="299" t="str">
        <f>MulComp!B28</f>
        <v>X</v>
      </c>
      <c r="C74" s="300" t="str">
        <f>MulComp!C28</f>
        <v>X</v>
      </c>
      <c r="D74" s="300" t="str">
        <f>MulComp!D28</f>
        <v>X</v>
      </c>
      <c r="E74" s="300" t="str">
        <f>MulComp!E28</f>
        <v>X</v>
      </c>
      <c r="F74" s="300" t="str">
        <f>MulComp!F28</f>
        <v>X</v>
      </c>
      <c r="G74" s="300" t="str">
        <f>MulComp!G28</f>
        <v>X</v>
      </c>
      <c r="H74" s="300" t="str">
        <f>MulComp!H28</f>
        <v>X</v>
      </c>
      <c r="I74" s="300" t="str">
        <f>MulComp!I28</f>
        <v>X</v>
      </c>
      <c r="J74" s="300" t="str">
        <f>MulComp!J28</f>
        <v xml:space="preserve"> </v>
      </c>
      <c r="K74" s="300" t="str">
        <f>MulComp!K28</f>
        <v>-------------</v>
      </c>
      <c r="L74" s="302">
        <v>0</v>
      </c>
      <c r="M74" s="301"/>
      <c r="N74" s="363">
        <f>MulComp!N28</f>
        <v>2</v>
      </c>
      <c r="O74" s="230">
        <f>MulComp!O28</f>
        <v>3.796796296296296</v>
      </c>
      <c r="P74" s="312"/>
      <c r="Q74" s="71"/>
    </row>
    <row r="75" spans="1:17" x14ac:dyDescent="0.25">
      <c r="A75" s="312">
        <f>MulComp!A29</f>
        <v>4</v>
      </c>
      <c r="B75" s="299" t="str">
        <f>MulComp!B29</f>
        <v>X</v>
      </c>
      <c r="C75" s="300" t="str">
        <f>MulComp!C29</f>
        <v>X</v>
      </c>
      <c r="D75" s="300" t="str">
        <f>MulComp!D29</f>
        <v>X</v>
      </c>
      <c r="E75" s="300" t="str">
        <f>MulComp!E29</f>
        <v>X</v>
      </c>
      <c r="F75" s="300" t="str">
        <f>MulComp!F29</f>
        <v>X</v>
      </c>
      <c r="G75" s="300" t="str">
        <f>MulComp!G29</f>
        <v>X</v>
      </c>
      <c r="H75" s="300" t="str">
        <f>MulComp!H29</f>
        <v>X</v>
      </c>
      <c r="I75" s="300" t="str">
        <f>MulComp!I29</f>
        <v>X</v>
      </c>
      <c r="J75" s="300" t="str">
        <f>MulComp!J29</f>
        <v>-------------</v>
      </c>
      <c r="K75" s="302">
        <v>0</v>
      </c>
      <c r="L75" s="302"/>
      <c r="M75" s="301"/>
      <c r="N75" s="363">
        <f>MulComp!N29</f>
        <v>1</v>
      </c>
      <c r="O75" s="230">
        <f>MulComp!O29</f>
        <v>1.6159846153846149</v>
      </c>
      <c r="P75" s="312"/>
      <c r="Q75" s="71"/>
    </row>
    <row r="76" spans="1:17" x14ac:dyDescent="0.25">
      <c r="A76" s="312">
        <f>MulComp!A30</f>
        <v>5</v>
      </c>
      <c r="B76" s="299" t="str">
        <f>MulComp!B30</f>
        <v>X</v>
      </c>
      <c r="C76" s="300" t="str">
        <f>MulComp!C30</f>
        <v>X</v>
      </c>
      <c r="D76" s="300" t="str">
        <f>MulComp!D30</f>
        <v>X</v>
      </c>
      <c r="E76" s="300" t="str">
        <f>MulComp!E30</f>
        <v>X</v>
      </c>
      <c r="F76" s="300" t="str">
        <f>MulComp!F30</f>
        <v>X</v>
      </c>
      <c r="G76" s="300" t="str">
        <f>MulComp!G30</f>
        <v>X</v>
      </c>
      <c r="H76" s="300" t="str">
        <f>MulComp!H30</f>
        <v>X</v>
      </c>
      <c r="I76" s="300" t="str">
        <f>MulComp!I30</f>
        <v>X</v>
      </c>
      <c r="J76" s="302">
        <v>0</v>
      </c>
      <c r="K76" s="302"/>
      <c r="L76" s="302"/>
      <c r="M76" s="301"/>
      <c r="N76" s="363" t="str">
        <f>MulComp!N30</f>
        <v xml:space="preserve"> </v>
      </c>
      <c r="O76" s="230" t="str">
        <f>MulComp!O30</f>
        <v xml:space="preserve"> </v>
      </c>
      <c r="P76" s="312"/>
      <c r="Q76" s="71"/>
    </row>
    <row r="77" spans="1:17" x14ac:dyDescent="0.25">
      <c r="A77" s="312">
        <f>MulComp!A31</f>
        <v>6</v>
      </c>
      <c r="B77" s="299" t="str">
        <f>MulComp!B31</f>
        <v>X</v>
      </c>
      <c r="C77" s="300" t="str">
        <f>MulComp!C31</f>
        <v>X</v>
      </c>
      <c r="D77" s="300" t="str">
        <f>MulComp!D31</f>
        <v>X</v>
      </c>
      <c r="E77" s="300" t="str">
        <f>MulComp!E31</f>
        <v>X</v>
      </c>
      <c r="F77" s="300" t="str">
        <f>MulComp!F31</f>
        <v>X</v>
      </c>
      <c r="G77" s="300" t="str">
        <f>MulComp!G31</f>
        <v>X</v>
      </c>
      <c r="H77" s="300" t="str">
        <f>MulComp!H31</f>
        <v>X</v>
      </c>
      <c r="I77" s="302">
        <v>0</v>
      </c>
      <c r="J77" s="302"/>
      <c r="K77" s="302"/>
      <c r="L77" s="302"/>
      <c r="M77" s="301"/>
      <c r="N77" s="363" t="str">
        <f>MulComp!N31</f>
        <v xml:space="preserve"> </v>
      </c>
      <c r="O77" s="230" t="str">
        <f>MulComp!O31</f>
        <v xml:space="preserve"> </v>
      </c>
      <c r="P77" s="312"/>
      <c r="Q77" s="71"/>
    </row>
    <row r="78" spans="1:17" x14ac:dyDescent="0.25">
      <c r="A78" s="312">
        <f>MulComp!A32</f>
        <v>7</v>
      </c>
      <c r="B78" s="299" t="str">
        <f>MulComp!B32</f>
        <v>X</v>
      </c>
      <c r="C78" s="300" t="str">
        <f>MulComp!C32</f>
        <v>X</v>
      </c>
      <c r="D78" s="300" t="str">
        <f>MulComp!D32</f>
        <v>X</v>
      </c>
      <c r="E78" s="300" t="str">
        <f>MulComp!E32</f>
        <v>X</v>
      </c>
      <c r="F78" s="300" t="str">
        <f>MulComp!F32</f>
        <v>X</v>
      </c>
      <c r="G78" s="300" t="str">
        <f>MulComp!G32</f>
        <v>X</v>
      </c>
      <c r="H78" s="302">
        <v>0</v>
      </c>
      <c r="I78" s="302"/>
      <c r="J78" s="302"/>
      <c r="K78" s="302"/>
      <c r="L78" s="302"/>
      <c r="M78" s="301"/>
      <c r="N78" s="363" t="str">
        <f>MulComp!N32</f>
        <v xml:space="preserve"> </v>
      </c>
      <c r="O78" s="230" t="str">
        <f>MulComp!O32</f>
        <v xml:space="preserve"> </v>
      </c>
      <c r="P78" s="312"/>
      <c r="Q78" s="71"/>
    </row>
    <row r="79" spans="1:17" x14ac:dyDescent="0.25">
      <c r="A79" s="312">
        <f>MulComp!A33</f>
        <v>8</v>
      </c>
      <c r="B79" s="299" t="str">
        <f>MulComp!B33</f>
        <v>X</v>
      </c>
      <c r="C79" s="300" t="str">
        <f>MulComp!C33</f>
        <v>X</v>
      </c>
      <c r="D79" s="300" t="str">
        <f>MulComp!D33</f>
        <v>X</v>
      </c>
      <c r="E79" s="300" t="str">
        <f>MulComp!E33</f>
        <v>X</v>
      </c>
      <c r="F79" s="300" t="str">
        <f>MulComp!F33</f>
        <v>X</v>
      </c>
      <c r="G79" s="302">
        <v>0</v>
      </c>
      <c r="H79" s="302"/>
      <c r="I79" s="302"/>
      <c r="J79" s="302"/>
      <c r="K79" s="302"/>
      <c r="L79" s="302"/>
      <c r="M79" s="301"/>
      <c r="N79" s="363" t="str">
        <f>MulComp!N33</f>
        <v xml:space="preserve"> </v>
      </c>
      <c r="O79" s="230" t="str">
        <f>MulComp!O33</f>
        <v xml:space="preserve"> </v>
      </c>
      <c r="P79" s="312"/>
      <c r="Q79" s="71"/>
    </row>
    <row r="80" spans="1:17" x14ac:dyDescent="0.25">
      <c r="A80" s="312">
        <f>MulComp!A34</f>
        <v>9</v>
      </c>
      <c r="B80" s="299" t="str">
        <f>MulComp!B34</f>
        <v>X</v>
      </c>
      <c r="C80" s="300" t="str">
        <f>MulComp!C34</f>
        <v>X</v>
      </c>
      <c r="D80" s="300" t="str">
        <f>MulComp!D34</f>
        <v>X</v>
      </c>
      <c r="E80" s="300" t="str">
        <f>MulComp!E34</f>
        <v>X</v>
      </c>
      <c r="F80" s="302">
        <v>0</v>
      </c>
      <c r="G80" s="302"/>
      <c r="H80" s="302"/>
      <c r="I80" s="302"/>
      <c r="J80" s="302"/>
      <c r="K80" s="302"/>
      <c r="L80" s="302"/>
      <c r="M80" s="301"/>
      <c r="N80" s="363" t="str">
        <f>MulComp!N34</f>
        <v xml:space="preserve"> </v>
      </c>
      <c r="O80" s="230" t="str">
        <f>MulComp!O34</f>
        <v xml:space="preserve"> </v>
      </c>
      <c r="P80" s="312"/>
      <c r="Q80" s="71"/>
    </row>
    <row r="81" spans="1:17" x14ac:dyDescent="0.25">
      <c r="A81" s="312">
        <f>MulComp!A35</f>
        <v>10</v>
      </c>
      <c r="B81" s="299" t="str">
        <f>MulComp!B35</f>
        <v>X</v>
      </c>
      <c r="C81" s="300" t="str">
        <f>MulComp!C35</f>
        <v>X</v>
      </c>
      <c r="D81" s="300" t="str">
        <f>MulComp!D35</f>
        <v>X</v>
      </c>
      <c r="E81" s="302">
        <v>0</v>
      </c>
      <c r="F81" s="302"/>
      <c r="G81" s="302"/>
      <c r="H81" s="302"/>
      <c r="I81" s="302"/>
      <c r="J81" s="302"/>
      <c r="K81" s="302"/>
      <c r="L81" s="302"/>
      <c r="M81" s="301"/>
      <c r="N81" s="363" t="str">
        <f>MulComp!N35</f>
        <v xml:space="preserve"> </v>
      </c>
      <c r="O81" s="230" t="str">
        <f>MulComp!O35</f>
        <v xml:space="preserve"> </v>
      </c>
      <c r="P81" s="312"/>
      <c r="Q81" s="71"/>
    </row>
    <row r="82" spans="1:17" x14ac:dyDescent="0.25">
      <c r="A82" s="312">
        <f>MulComp!A36</f>
        <v>11</v>
      </c>
      <c r="B82" s="299" t="str">
        <f>MulComp!B36</f>
        <v>X</v>
      </c>
      <c r="C82" s="300" t="str">
        <f>MulComp!C36</f>
        <v>X</v>
      </c>
      <c r="D82" s="302">
        <v>0</v>
      </c>
      <c r="E82" s="302"/>
      <c r="F82" s="302"/>
      <c r="G82" s="302"/>
      <c r="H82" s="302"/>
      <c r="I82" s="302"/>
      <c r="J82" s="302"/>
      <c r="K82" s="302"/>
      <c r="L82" s="302"/>
      <c r="M82" s="301"/>
      <c r="N82" s="363" t="str">
        <f>MulComp!N36</f>
        <v xml:space="preserve"> </v>
      </c>
      <c r="O82" s="230" t="str">
        <f>MulComp!O36</f>
        <v xml:space="preserve"> </v>
      </c>
      <c r="P82" s="312"/>
      <c r="Q82" s="71"/>
    </row>
    <row r="83" spans="1:17" ht="13.8" thickBot="1" x14ac:dyDescent="0.3">
      <c r="A83" s="312">
        <f>MulComp!A37</f>
        <v>12</v>
      </c>
      <c r="B83" s="295" t="str">
        <f>IF(OR(B$29&gt;$F$63,$A83&gt;$F$63,$A83&gt;B$29),"X",IF(OR(B$29=$A83,$O83-B$32&lt;B122),"-------------"," "))</f>
        <v>X</v>
      </c>
      <c r="C83" s="247">
        <v>0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6"/>
      <c r="N83" s="363" t="str">
        <f>MulComp!N37</f>
        <v xml:space="preserve"> </v>
      </c>
      <c r="O83" s="230" t="str">
        <f>MulComp!O37</f>
        <v xml:space="preserve"> </v>
      </c>
      <c r="P83" s="312"/>
      <c r="Q83" s="71"/>
    </row>
    <row r="84" spans="1:17" x14ac:dyDescent="0.25">
      <c r="A84" s="231"/>
      <c r="B84" s="232">
        <v>12</v>
      </c>
      <c r="C84" s="232">
        <v>11</v>
      </c>
      <c r="D84" s="232">
        <v>10</v>
      </c>
      <c r="E84" s="232">
        <v>9</v>
      </c>
      <c r="F84" s="232">
        <v>8</v>
      </c>
      <c r="G84" s="232">
        <v>7</v>
      </c>
      <c r="H84" s="232">
        <v>6</v>
      </c>
      <c r="I84" s="232">
        <v>5</v>
      </c>
      <c r="J84" s="232">
        <v>4</v>
      </c>
      <c r="K84" s="232">
        <v>3</v>
      </c>
      <c r="L84" s="232">
        <v>2</v>
      </c>
      <c r="M84" s="232">
        <v>1</v>
      </c>
      <c r="N84" s="233"/>
    </row>
    <row r="85" spans="1:17" ht="13.8" thickBot="1" x14ac:dyDescent="0.3"/>
    <row r="86" spans="1:17" x14ac:dyDescent="0.25">
      <c r="C86" s="227" t="s">
        <v>256</v>
      </c>
      <c r="D86" s="601"/>
      <c r="E86" s="602"/>
      <c r="F86" s="602"/>
      <c r="G86" s="602"/>
      <c r="H86" s="602"/>
      <c r="I86" s="602"/>
      <c r="J86" s="602"/>
      <c r="K86" s="602"/>
      <c r="L86" s="602"/>
      <c r="M86" s="603"/>
    </row>
    <row r="87" spans="1:17" x14ac:dyDescent="0.25">
      <c r="D87" s="592"/>
      <c r="E87" s="593"/>
      <c r="F87" s="593"/>
      <c r="G87" s="593"/>
      <c r="H87" s="593"/>
      <c r="I87" s="593"/>
      <c r="J87" s="593"/>
      <c r="K87" s="565"/>
      <c r="L87" s="565"/>
      <c r="M87" s="566"/>
    </row>
    <row r="88" spans="1:17" ht="13.8" thickBot="1" x14ac:dyDescent="0.3">
      <c r="D88" s="594"/>
      <c r="E88" s="595"/>
      <c r="F88" s="595"/>
      <c r="G88" s="595"/>
      <c r="H88" s="595"/>
      <c r="I88" s="595"/>
      <c r="J88" s="595"/>
      <c r="K88" s="567"/>
      <c r="L88" s="567"/>
      <c r="M88" s="568"/>
    </row>
  </sheetData>
  <sheetProtection password="C550" sheet="1" objects="1" scenarios="1"/>
  <mergeCells count="6">
    <mergeCell ref="D87:J87"/>
    <mergeCell ref="D88:J88"/>
    <mergeCell ref="D3:F3"/>
    <mergeCell ref="B31:H31"/>
    <mergeCell ref="B32:H32"/>
    <mergeCell ref="D86:M8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8"/>
  </sheetPr>
  <dimension ref="A1:R58"/>
  <sheetViews>
    <sheetView showGridLines="0" topLeftCell="A10" workbookViewId="0">
      <selection activeCell="V7" sqref="V7"/>
    </sheetView>
  </sheetViews>
  <sheetFormatPr defaultRowHeight="13.2" x14ac:dyDescent="0.25"/>
  <cols>
    <col min="1" max="1" width="12.6640625" customWidth="1"/>
    <col min="2" max="14" width="5.6640625" customWidth="1"/>
    <col min="15" max="15" width="7.6640625" customWidth="1"/>
    <col min="16" max="16" width="5.6640625" customWidth="1"/>
    <col min="17" max="17" width="8.6640625" customWidth="1"/>
    <col min="18" max="30" width="5.6640625" customWidth="1"/>
  </cols>
  <sheetData>
    <row r="1" spans="1:18" s="59" customFormat="1" x14ac:dyDescent="0.25">
      <c r="A1" s="313" t="s">
        <v>101</v>
      </c>
      <c r="B1" s="14"/>
      <c r="C1" s="14"/>
      <c r="D1" s="14"/>
      <c r="E1" s="14"/>
      <c r="F1" s="14"/>
      <c r="G1" s="14"/>
      <c r="H1" s="12"/>
      <c r="I1" s="14"/>
      <c r="J1" s="14"/>
      <c r="K1" s="14"/>
      <c r="L1" s="14"/>
      <c r="M1" s="14"/>
      <c r="O1" s="151"/>
      <c r="Q1" s="14"/>
      <c r="R1" s="14"/>
    </row>
    <row r="2" spans="1:18" s="59" customFormat="1" x14ac:dyDescent="0.25">
      <c r="A2" s="14"/>
      <c r="B2" s="14"/>
      <c r="C2" s="14"/>
      <c r="D2" s="14"/>
      <c r="E2" s="14"/>
      <c r="F2" s="14"/>
      <c r="G2" s="14"/>
      <c r="H2" s="12"/>
      <c r="J2" s="14"/>
      <c r="K2" s="14"/>
      <c r="L2" s="266"/>
      <c r="M2" s="265"/>
      <c r="O2" s="151"/>
      <c r="Q2" s="14"/>
      <c r="R2" s="14"/>
    </row>
    <row r="3" spans="1:18" ht="13.8" thickBot="1" x14ac:dyDescent="0.3">
      <c r="A3" s="14"/>
      <c r="B3" s="14" t="s">
        <v>9</v>
      </c>
      <c r="C3" s="14"/>
      <c r="D3" s="14"/>
      <c r="E3" s="14"/>
      <c r="F3" s="14"/>
      <c r="G3" s="314" t="str">
        <f>IF(OR(Input!$M$7=2,Input!$M$7=3,Input!$M$7=4),"(APPROXIMATELY,  CALCULATED and ROUNDED !!)","")</f>
        <v/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3"/>
    </row>
    <row r="4" spans="1:18" ht="13.8" thickBot="1" x14ac:dyDescent="0.3">
      <c r="A4" s="14"/>
      <c r="B4" s="315"/>
      <c r="C4" s="316">
        <v>1</v>
      </c>
      <c r="D4" s="317">
        <f t="shared" ref="D4:N4" si="0">C4+1</f>
        <v>2</v>
      </c>
      <c r="E4" s="317">
        <f t="shared" si="0"/>
        <v>3</v>
      </c>
      <c r="F4" s="317">
        <f t="shared" si="0"/>
        <v>4</v>
      </c>
      <c r="G4" s="317">
        <f t="shared" si="0"/>
        <v>5</v>
      </c>
      <c r="H4" s="317">
        <f t="shared" si="0"/>
        <v>6</v>
      </c>
      <c r="I4" s="317">
        <f t="shared" si="0"/>
        <v>7</v>
      </c>
      <c r="J4" s="317">
        <f t="shared" si="0"/>
        <v>8</v>
      </c>
      <c r="K4" s="317">
        <f t="shared" si="0"/>
        <v>9</v>
      </c>
      <c r="L4" s="317">
        <f t="shared" si="0"/>
        <v>10</v>
      </c>
      <c r="M4" s="317">
        <f t="shared" si="0"/>
        <v>11</v>
      </c>
      <c r="N4" s="318">
        <f t="shared" si="0"/>
        <v>12</v>
      </c>
      <c r="O4" s="319" t="s">
        <v>0</v>
      </c>
      <c r="P4" s="14"/>
      <c r="Q4" s="14"/>
      <c r="R4" s="3"/>
    </row>
    <row r="5" spans="1:18" x14ac:dyDescent="0.25">
      <c r="A5" s="275">
        <f>Input!F8</f>
        <v>3</v>
      </c>
      <c r="B5" s="320">
        <v>12</v>
      </c>
      <c r="C5" s="180" t="str">
        <f>IF(OR(C$4&gt;Input!$F$14,$B5&gt;Input!$F$10,Input!$M$7=9),"  ",ROUND((IF(Input!$M$7=1,Input!D37,IF(Input!$M$7=2,Input!D37*Input!$M$4/100,IF(Input!$M$7=3,Input!D37*Input!$P37/100,IF(Input!$M$7=4,Input!D37*Input!D$49/100," "))))),0))</f>
        <v xml:space="preserve">  </v>
      </c>
      <c r="D5" s="181" t="str">
        <f>IF(OR(D$4&gt;Input!$F$14,$B5&gt;Input!$F$10,Input!$M$7=9),"  ",ROUND((IF(Input!$M$7=1,Input!E37,IF(Input!$M$7=2,Input!E37*Input!$M$4/100,IF(Input!$M$7=3,Input!E37*Input!$P37/100,IF(Input!$M$7=4,Input!E37*Input!E$49/100," "))))),0))</f>
        <v xml:space="preserve">  </v>
      </c>
      <c r="E5" s="181" t="str">
        <f>IF(OR(E$4&gt;Input!$F$14,$B5&gt;Input!$F$10,Input!$M$7=9),"  ",ROUND((IF(Input!$M$7=1,Input!F37,IF(Input!$M$7=2,Input!F37*Input!$M$4/100,IF(Input!$M$7=3,Input!F37*Input!$P37/100,IF(Input!$M$7=4,Input!F37*Input!F$49/100," "))))),0))</f>
        <v xml:space="preserve">  </v>
      </c>
      <c r="F5" s="181" t="str">
        <f>IF(OR(F$4&gt;Input!$F$14,$B5&gt;Input!$F$10,Input!$M$7=9),"  ",ROUND((IF(Input!$M$7=1,Input!G37,IF(Input!$M$7=2,Input!G37*Input!$M$4/100,IF(Input!$M$7=3,Input!G37*Input!$P37/100,IF(Input!$M$7=4,Input!G37*Input!G$49/100," "))))),0))</f>
        <v xml:space="preserve">  </v>
      </c>
      <c r="G5" s="181" t="str">
        <f>IF(OR(G$4&gt;Input!$F$14,$B5&gt;Input!$F$10,Input!$M$7=9),"  ",ROUND((IF(Input!$M$7=1,Input!H37,IF(Input!$M$7=2,Input!H37*Input!$M$4/100,IF(Input!$M$7=3,Input!H37*Input!$P37/100,IF(Input!$M$7=4,Input!H37*Input!H$49/100," "))))),0))</f>
        <v xml:space="preserve">  </v>
      </c>
      <c r="H5" s="181" t="str">
        <f>IF(OR(H$4&gt;Input!$F$14,$B5&gt;Input!$F$10,Input!$M$7=9),"  ",ROUND((IF(Input!$M$7=1,Input!I37,IF(Input!$M$7=2,Input!I37*Input!$M$4/100,IF(Input!$M$7=3,Input!I37*Input!$P37/100,IF(Input!$M$7=4,Input!I37*Input!I$49/100," "))))),0))</f>
        <v xml:space="preserve">  </v>
      </c>
      <c r="I5" s="181" t="str">
        <f>IF(OR(I$4&gt;Input!$F$14,$B5&gt;Input!$F$10,Input!$M$7=9),"  ",ROUND((IF(Input!$M$7=1,Input!J37,IF(Input!$M$7=2,Input!J37*Input!$M$4/100,IF(Input!$M$7=3,Input!J37*Input!$P37/100,IF(Input!$M$7=4,Input!J37*Input!J$49/100," "))))),0))</f>
        <v xml:space="preserve">  </v>
      </c>
      <c r="J5" s="181" t="str">
        <f>IF(OR(J$4&gt;Input!$F$14,$B5&gt;Input!$F$10,Input!$M$7=9),"  ",ROUND((IF(Input!$M$7=1,Input!K37,IF(Input!$M$7=2,Input!K37*Input!$M$4/100,IF(Input!$M$7=3,Input!K37*Input!$P37/100,IF(Input!$M$7=4,Input!K37*Input!K$49/100," "))))),0))</f>
        <v xml:space="preserve">  </v>
      </c>
      <c r="K5" s="181" t="str">
        <f>IF(OR(K$4&gt;Input!$F$14,$B5&gt;Input!$F$10,Input!$M$7=9),"  ",ROUND((IF(Input!$M$7=1,Input!L37,IF(Input!$M$7=2,Input!L37*Input!$M$4/100,IF(Input!$M$7=3,Input!L37*Input!$P37/100,IF(Input!$M$7=4,Input!L37*Input!L$49/100," "))))),0))</f>
        <v xml:space="preserve">  </v>
      </c>
      <c r="L5" s="181" t="str">
        <f>IF(OR(L$4&gt;Input!$F$14,$B5&gt;Input!$F$10,Input!$M$7=9),"  ",ROUND((IF(Input!$M$7=1,Input!M37,IF(Input!$M$7=2,Input!M37*Input!$M$4/100,IF(Input!$M$7=3,Input!M37*Input!$P37/100,IF(Input!$M$7=4,Input!M37*Input!M$49/100," "))))),0))</f>
        <v xml:space="preserve">  </v>
      </c>
      <c r="M5" s="181" t="str">
        <f>IF(OR(M$4&gt;Input!$F$14,$B5&gt;Input!$F$10,Input!$M$7=9),"  ",ROUND((IF(Input!$M$7=1,Input!N37,IF(Input!$M$7=2,Input!N37*Input!$M$4/100,IF(Input!$M$7=3,Input!N37*Input!$P37/100,IF(Input!$M$7=4,Input!N37*Input!N$49/100," "))))),0))</f>
        <v xml:space="preserve">  </v>
      </c>
      <c r="N5" s="182" t="str">
        <f>IF(OR(N$4&gt;Input!$F$14,$B5&gt;Input!$F$10,Input!$M$7=9),"  ",ROUND((IF(Input!$M$7=1,Input!O37,IF(Input!$M$7=2,Input!O37*Input!$M$4/100,IF(Input!$M$7=3,Input!O37*Input!$P37/100,IF(Input!$M$7=4,Input!O37*Input!O$49/100," "))))),0))</f>
        <v xml:space="preserve">  </v>
      </c>
      <c r="O5" s="183" t="str">
        <f>IF(B5&gt;Input!$F$10,"",SUM(C5:N5))</f>
        <v/>
      </c>
      <c r="P5" s="14"/>
      <c r="Q5" s="14"/>
      <c r="R5" s="3"/>
    </row>
    <row r="6" spans="1:18" x14ac:dyDescent="0.25">
      <c r="A6" s="275">
        <f>Input!F9</f>
        <v>1</v>
      </c>
      <c r="B6" s="321">
        <v>11</v>
      </c>
      <c r="C6" s="184" t="str">
        <f>IF(OR(C$4&gt;Input!$F$14,$B6&gt;Input!$F$10,Input!$M$7=9),"  ",ROUND((IF(Input!$M$7=1,Input!D38,IF(Input!$M$7=2,Input!D38*Input!$M$4/100,IF(Input!$M$7=3,Input!D38*Input!$P38/100,IF(Input!$M$7=4,Input!D38*Input!D$49/100," "))))),0))</f>
        <v xml:space="preserve">  </v>
      </c>
      <c r="D6" s="185" t="str">
        <f>IF(OR(D$4&gt;Input!$F$14,$B6&gt;Input!$F$10,Input!$M$7=9),"  ",ROUND((IF(Input!$M$7=1,Input!E38,IF(Input!$M$7=2,Input!E38*Input!$M$4/100,IF(Input!$M$7=3,Input!E38*Input!$P38/100,IF(Input!$M$7=4,Input!E38*Input!E$49/100," "))))),0))</f>
        <v xml:space="preserve">  </v>
      </c>
      <c r="E6" s="185" t="str">
        <f>IF(OR(E$4&gt;Input!$F$14,$B6&gt;Input!$F$10,Input!$M$7=9),"  ",ROUND((IF(Input!$M$7=1,Input!F38,IF(Input!$M$7=2,Input!F38*Input!$M$4/100,IF(Input!$M$7=3,Input!F38*Input!$P38/100,IF(Input!$M$7=4,Input!F38*Input!F$49/100," "))))),0))</f>
        <v xml:space="preserve">  </v>
      </c>
      <c r="F6" s="185" t="str">
        <f>IF(OR(F$4&gt;Input!$F$14,$B6&gt;Input!$F$10,Input!$M$7=9),"  ",ROUND((IF(Input!$M$7=1,Input!G38,IF(Input!$M$7=2,Input!G38*Input!$M$4/100,IF(Input!$M$7=3,Input!G38*Input!$P38/100,IF(Input!$M$7=4,Input!G38*Input!G$49/100," "))))),0))</f>
        <v xml:space="preserve">  </v>
      </c>
      <c r="G6" s="185" t="str">
        <f>IF(OR(G$4&gt;Input!$F$14,$B6&gt;Input!$F$10,Input!$M$7=9),"  ",ROUND((IF(Input!$M$7=1,Input!H38,IF(Input!$M$7=2,Input!H38*Input!$M$4/100,IF(Input!$M$7=3,Input!H38*Input!$P38/100,IF(Input!$M$7=4,Input!H38*Input!H$49/100," "))))),0))</f>
        <v xml:space="preserve">  </v>
      </c>
      <c r="H6" s="185" t="str">
        <f>IF(OR(H$4&gt;Input!$F$14,$B6&gt;Input!$F$10,Input!$M$7=9),"  ",ROUND((IF(Input!$M$7=1,Input!I38,IF(Input!$M$7=2,Input!I38*Input!$M$4/100,IF(Input!$M$7=3,Input!I38*Input!$P38/100,IF(Input!$M$7=4,Input!I38*Input!I$49/100," "))))),0))</f>
        <v xml:space="preserve">  </v>
      </c>
      <c r="I6" s="185" t="str">
        <f>IF(OR(I$4&gt;Input!$F$14,$B6&gt;Input!$F$10,Input!$M$7=9),"  ",ROUND((IF(Input!$M$7=1,Input!J38,IF(Input!$M$7=2,Input!J38*Input!$M$4/100,IF(Input!$M$7=3,Input!J38*Input!$P38/100,IF(Input!$M$7=4,Input!J38*Input!J$49/100," "))))),0))</f>
        <v xml:space="preserve">  </v>
      </c>
      <c r="J6" s="185" t="str">
        <f>IF(OR(J$4&gt;Input!$F$14,$B6&gt;Input!$F$10,Input!$M$7=9),"  ",ROUND((IF(Input!$M$7=1,Input!K38,IF(Input!$M$7=2,Input!K38*Input!$M$4/100,IF(Input!$M$7=3,Input!K38*Input!$P38/100,IF(Input!$M$7=4,Input!K38*Input!K$49/100," "))))),0))</f>
        <v xml:space="preserve">  </v>
      </c>
      <c r="K6" s="185" t="str">
        <f>IF(OR(K$4&gt;Input!$F$14,$B6&gt;Input!$F$10,Input!$M$7=9),"  ",ROUND((IF(Input!$M$7=1,Input!L38,IF(Input!$M$7=2,Input!L38*Input!$M$4/100,IF(Input!$M$7=3,Input!L38*Input!$P38/100,IF(Input!$M$7=4,Input!L38*Input!L$49/100," "))))),0))</f>
        <v xml:space="preserve">  </v>
      </c>
      <c r="L6" s="185" t="str">
        <f>IF(OR(L$4&gt;Input!$F$14,$B6&gt;Input!$F$10,Input!$M$7=9),"  ",ROUND((IF(Input!$M$7=1,Input!M38,IF(Input!$M$7=2,Input!M38*Input!$M$4/100,IF(Input!$M$7=3,Input!M38*Input!$P38/100,IF(Input!$M$7=4,Input!M38*Input!M$49/100," "))))),0))</f>
        <v xml:space="preserve">  </v>
      </c>
      <c r="M6" s="185" t="str">
        <f>IF(OR(M$4&gt;Input!$F$14,$B6&gt;Input!$F$10,Input!$M$7=9),"  ",ROUND((IF(Input!$M$7=1,Input!N38,IF(Input!$M$7=2,Input!N38*Input!$M$4/100,IF(Input!$M$7=3,Input!N38*Input!$P38/100,IF(Input!$M$7=4,Input!N38*Input!N$49/100," "))))),0))</f>
        <v xml:space="preserve">  </v>
      </c>
      <c r="N6" s="186" t="str">
        <f>IF(OR(N$4&gt;Input!$F$14,$B6&gt;Input!$F$10,Input!$M$7=9),"  ",ROUND((IF(Input!$M$7=1,Input!O38,IF(Input!$M$7=2,Input!O38*Input!$M$4/100,IF(Input!$M$7=3,Input!O38*Input!$P38/100,IF(Input!$M$7=4,Input!O38*Input!O$49/100," "))))),0))</f>
        <v xml:space="preserve">  </v>
      </c>
      <c r="O6" s="187" t="str">
        <f>IF(B6&gt;Input!$F$10,"",SUM(C6:N6))</f>
        <v/>
      </c>
      <c r="P6" s="14"/>
      <c r="Q6" s="14"/>
      <c r="R6" s="3"/>
    </row>
    <row r="7" spans="1:18" x14ac:dyDescent="0.25">
      <c r="A7" s="275"/>
      <c r="B7" s="321">
        <v>10</v>
      </c>
      <c r="C7" s="184" t="str">
        <f>IF(OR(C$4&gt;Input!$F$14,$B7&gt;Input!$F$10,Input!$M$7=9),"  ",ROUND((IF(Input!$M$7=1,Input!D39,IF(Input!$M$7=2,Input!D39*Input!$M$4/100,IF(Input!$M$7=3,Input!D39*Input!$P39/100,IF(Input!$M$7=4,Input!D39*Input!D$49/100," "))))),0))</f>
        <v xml:space="preserve">  </v>
      </c>
      <c r="D7" s="185" t="str">
        <f>IF(OR(D$4&gt;Input!$F$14,$B7&gt;Input!$F$10,Input!$M$7=9),"  ",ROUND((IF(Input!$M$7=1,Input!E39,IF(Input!$M$7=2,Input!E39*Input!$M$4/100,IF(Input!$M$7=3,Input!E39*Input!$P39/100,IF(Input!$M$7=4,Input!E39*Input!E$49/100," "))))),0))</f>
        <v xml:space="preserve">  </v>
      </c>
      <c r="E7" s="185" t="str">
        <f>IF(OR(E$4&gt;Input!$F$14,$B7&gt;Input!$F$10,Input!$M$7=9),"  ",ROUND((IF(Input!$M$7=1,Input!F39,IF(Input!$M$7=2,Input!F39*Input!$M$4/100,IF(Input!$M$7=3,Input!F39*Input!$P39/100,IF(Input!$M$7=4,Input!F39*Input!F$49/100," "))))),0))</f>
        <v xml:space="preserve">  </v>
      </c>
      <c r="F7" s="185" t="str">
        <f>IF(OR(F$4&gt;Input!$F$14,$B7&gt;Input!$F$10,Input!$M$7=9),"  ",ROUND((IF(Input!$M$7=1,Input!G39,IF(Input!$M$7=2,Input!G39*Input!$M$4/100,IF(Input!$M$7=3,Input!G39*Input!$P39/100,IF(Input!$M$7=4,Input!G39*Input!G$49/100," "))))),0))</f>
        <v xml:space="preserve">  </v>
      </c>
      <c r="G7" s="185" t="str">
        <f>IF(OR(G$4&gt;Input!$F$14,$B7&gt;Input!$F$10,Input!$M$7=9),"  ",ROUND((IF(Input!$M$7=1,Input!H39,IF(Input!$M$7=2,Input!H39*Input!$M$4/100,IF(Input!$M$7=3,Input!H39*Input!$P39/100,IF(Input!$M$7=4,Input!H39*Input!H$49/100," "))))),0))</f>
        <v xml:space="preserve">  </v>
      </c>
      <c r="H7" s="185" t="str">
        <f>IF(OR(H$4&gt;Input!$F$14,$B7&gt;Input!$F$10,Input!$M$7=9),"  ",ROUND((IF(Input!$M$7=1,Input!I39,IF(Input!$M$7=2,Input!I39*Input!$M$4/100,IF(Input!$M$7=3,Input!I39*Input!$P39/100,IF(Input!$M$7=4,Input!I39*Input!I$49/100," "))))),0))</f>
        <v xml:space="preserve">  </v>
      </c>
      <c r="I7" s="185" t="str">
        <f>IF(OR(I$4&gt;Input!$F$14,$B7&gt;Input!$F$10,Input!$M$7=9),"  ",ROUND((IF(Input!$M$7=1,Input!J39,IF(Input!$M$7=2,Input!J39*Input!$M$4/100,IF(Input!$M$7=3,Input!J39*Input!$P39/100,IF(Input!$M$7=4,Input!J39*Input!J$49/100," "))))),0))</f>
        <v xml:space="preserve">  </v>
      </c>
      <c r="J7" s="185" t="str">
        <f>IF(OR(J$4&gt;Input!$F$14,$B7&gt;Input!$F$10,Input!$M$7=9),"  ",ROUND((IF(Input!$M$7=1,Input!K39,IF(Input!$M$7=2,Input!K39*Input!$M$4/100,IF(Input!$M$7=3,Input!K39*Input!$P39/100,IF(Input!$M$7=4,Input!K39*Input!K$49/100," "))))),0))</f>
        <v xml:space="preserve">  </v>
      </c>
      <c r="K7" s="185" t="str">
        <f>IF(OR(K$4&gt;Input!$F$14,$B7&gt;Input!$F$10,Input!$M$7=9),"  ",ROUND((IF(Input!$M$7=1,Input!L39,IF(Input!$M$7=2,Input!L39*Input!$M$4/100,IF(Input!$M$7=3,Input!L39*Input!$P39/100,IF(Input!$M$7=4,Input!L39*Input!L$49/100," "))))),0))</f>
        <v xml:space="preserve">  </v>
      </c>
      <c r="L7" s="185" t="str">
        <f>IF(OR(L$4&gt;Input!$F$14,$B7&gt;Input!$F$10,Input!$M$7=9),"  ",ROUND((IF(Input!$M$7=1,Input!M39,IF(Input!$M$7=2,Input!M39*Input!$M$4/100,IF(Input!$M$7=3,Input!M39*Input!$P39/100,IF(Input!$M$7=4,Input!M39*Input!M$49/100," "))))),0))</f>
        <v xml:space="preserve">  </v>
      </c>
      <c r="M7" s="185" t="str">
        <f>IF(OR(M$4&gt;Input!$F$14,$B7&gt;Input!$F$10,Input!$M$7=9),"  ",ROUND((IF(Input!$M$7=1,Input!N39,IF(Input!$M$7=2,Input!N39*Input!$M$4/100,IF(Input!$M$7=3,Input!N39*Input!$P39/100,IF(Input!$M$7=4,Input!N39*Input!N$49/100," "))))),0))</f>
        <v xml:space="preserve">  </v>
      </c>
      <c r="N7" s="186" t="str">
        <f>IF(OR(N$4&gt;Input!$F$14,$B7&gt;Input!$F$10,Input!$M$7=9),"  ",ROUND((IF(Input!$M$7=1,Input!O39,IF(Input!$M$7=2,Input!O39*Input!$M$4/100,IF(Input!$M$7=3,Input!O39*Input!$P39/100,IF(Input!$M$7=4,Input!O39*Input!O$49/100," "))))),0))</f>
        <v xml:space="preserve">  </v>
      </c>
      <c r="O7" s="187" t="str">
        <f>IF(B7&gt;Input!$F$10,"",SUM(C7:N7))</f>
        <v/>
      </c>
      <c r="P7" s="14"/>
      <c r="Q7" s="14"/>
      <c r="R7" s="3"/>
    </row>
    <row r="8" spans="1:18" x14ac:dyDescent="0.25">
      <c r="A8" s="275">
        <f>Input!F11</f>
        <v>0</v>
      </c>
      <c r="B8" s="321">
        <v>9</v>
      </c>
      <c r="C8" s="184" t="str">
        <f>IF(OR(C$4&gt;Input!$F$14,$B8&gt;Input!$F$10,Input!$M$7=9),"  ",ROUND((IF(Input!$M$7=1,Input!D40,IF(Input!$M$7=2,Input!D40*Input!$M$4/100,IF(Input!$M$7=3,Input!D40*Input!$P40/100,IF(Input!$M$7=4,Input!D40*Input!D$49/100," "))))),0))</f>
        <v xml:space="preserve">  </v>
      </c>
      <c r="D8" s="185" t="str">
        <f>IF(OR(D$4&gt;Input!$F$14,$B8&gt;Input!$F$10,Input!$M$7=9),"  ",ROUND((IF(Input!$M$7=1,Input!E40,IF(Input!$M$7=2,Input!E40*Input!$M$4/100,IF(Input!$M$7=3,Input!E40*Input!$P40/100,IF(Input!$M$7=4,Input!E40*Input!E$49/100," "))))),0))</f>
        <v xml:space="preserve">  </v>
      </c>
      <c r="E8" s="185" t="str">
        <f>IF(OR(E$4&gt;Input!$F$14,$B8&gt;Input!$F$10,Input!$M$7=9),"  ",ROUND((IF(Input!$M$7=1,Input!F40,IF(Input!$M$7=2,Input!F40*Input!$M$4/100,IF(Input!$M$7=3,Input!F40*Input!$P40/100,IF(Input!$M$7=4,Input!F40*Input!F$49/100," "))))),0))</f>
        <v xml:space="preserve">  </v>
      </c>
      <c r="F8" s="185" t="str">
        <f>IF(OR(F$4&gt;Input!$F$14,$B8&gt;Input!$F$10,Input!$M$7=9),"  ",ROUND((IF(Input!$M$7=1,Input!G40,IF(Input!$M$7=2,Input!G40*Input!$M$4/100,IF(Input!$M$7=3,Input!G40*Input!$P40/100,IF(Input!$M$7=4,Input!G40*Input!G$49/100," "))))),0))</f>
        <v xml:space="preserve">  </v>
      </c>
      <c r="G8" s="185" t="str">
        <f>IF(OR(G$4&gt;Input!$F$14,$B8&gt;Input!$F$10,Input!$M$7=9),"  ",ROUND((IF(Input!$M$7=1,Input!H40,IF(Input!$M$7=2,Input!H40*Input!$M$4/100,IF(Input!$M$7=3,Input!H40*Input!$P40/100,IF(Input!$M$7=4,Input!H40*Input!H$49/100," "))))),0))</f>
        <v xml:space="preserve">  </v>
      </c>
      <c r="H8" s="185" t="str">
        <f>IF(OR(H$4&gt;Input!$F$14,$B8&gt;Input!$F$10,Input!$M$7=9),"  ",ROUND((IF(Input!$M$7=1,Input!I40,IF(Input!$M$7=2,Input!I40*Input!$M$4/100,IF(Input!$M$7=3,Input!I40*Input!$P40/100,IF(Input!$M$7=4,Input!I40*Input!I$49/100," "))))),0))</f>
        <v xml:space="preserve">  </v>
      </c>
      <c r="I8" s="185" t="str">
        <f>IF(OR(I$4&gt;Input!$F$14,$B8&gt;Input!$F$10,Input!$M$7=9),"  ",ROUND((IF(Input!$M$7=1,Input!J40,IF(Input!$M$7=2,Input!J40*Input!$M$4/100,IF(Input!$M$7=3,Input!J40*Input!$P40/100,IF(Input!$M$7=4,Input!J40*Input!J$49/100," "))))),0))</f>
        <v xml:space="preserve">  </v>
      </c>
      <c r="J8" s="185" t="str">
        <f>IF(OR(J$4&gt;Input!$F$14,$B8&gt;Input!$F$10,Input!$M$7=9),"  ",ROUND((IF(Input!$M$7=1,Input!K40,IF(Input!$M$7=2,Input!K40*Input!$M$4/100,IF(Input!$M$7=3,Input!K40*Input!$P40/100,IF(Input!$M$7=4,Input!K40*Input!K$49/100," "))))),0))</f>
        <v xml:space="preserve">  </v>
      </c>
      <c r="K8" s="185" t="str">
        <f>IF(OR(K$4&gt;Input!$F$14,$B8&gt;Input!$F$10,Input!$M$7=9),"  ",ROUND((IF(Input!$M$7=1,Input!L40,IF(Input!$M$7=2,Input!L40*Input!$M$4/100,IF(Input!$M$7=3,Input!L40*Input!$P40/100,IF(Input!$M$7=4,Input!L40*Input!L$49/100," "))))),0))</f>
        <v xml:space="preserve">  </v>
      </c>
      <c r="L8" s="185" t="str">
        <f>IF(OR(L$4&gt;Input!$F$14,$B8&gt;Input!$F$10,Input!$M$7=9),"  ",ROUND((IF(Input!$M$7=1,Input!M40,IF(Input!$M$7=2,Input!M40*Input!$M$4/100,IF(Input!$M$7=3,Input!M40*Input!$P40/100,IF(Input!$M$7=4,Input!M40*Input!M$49/100," "))))),0))</f>
        <v xml:space="preserve">  </v>
      </c>
      <c r="M8" s="185" t="str">
        <f>IF(OR(M$4&gt;Input!$F$14,$B8&gt;Input!$F$10,Input!$M$7=9),"  ",ROUND((IF(Input!$M$7=1,Input!N40,IF(Input!$M$7=2,Input!N40*Input!$M$4/100,IF(Input!$M$7=3,Input!N40*Input!$P40/100,IF(Input!$M$7=4,Input!N40*Input!N$49/100," "))))),0))</f>
        <v xml:space="preserve">  </v>
      </c>
      <c r="N8" s="186" t="str">
        <f>IF(OR(N$4&gt;Input!$F$14,$B8&gt;Input!$F$10,Input!$M$7=9),"  ",ROUND((IF(Input!$M$7=1,Input!O40,IF(Input!$M$7=2,Input!O40*Input!$M$4/100,IF(Input!$M$7=3,Input!O40*Input!$P40/100,IF(Input!$M$7=4,Input!O40*Input!O$49/100," "))))),0))</f>
        <v xml:space="preserve">  </v>
      </c>
      <c r="O8" s="187" t="str">
        <f>IF(B8&gt;Input!$F$10,"",SUM(C8:N8))</f>
        <v/>
      </c>
      <c r="P8" s="14"/>
      <c r="Q8" s="14"/>
      <c r="R8" s="3"/>
    </row>
    <row r="9" spans="1:18" x14ac:dyDescent="0.25">
      <c r="A9" s="322"/>
      <c r="B9" s="321">
        <v>8</v>
      </c>
      <c r="C9" s="184" t="str">
        <f>IF(OR(C$4&gt;Input!$F$14,$B9&gt;Input!$F$10,Input!$M$7=9),"  ",ROUND((IF(Input!$M$7=1,Input!D41,IF(Input!$M$7=2,Input!D41*Input!$M$4/100,IF(Input!$M$7=3,Input!D41*Input!$P41/100,IF(Input!$M$7=4,Input!D41*Input!D$49/100," "))))),0))</f>
        <v xml:space="preserve">  </v>
      </c>
      <c r="D9" s="185" t="str">
        <f>IF(OR(D$4&gt;Input!$F$14,$B9&gt;Input!$F$10,Input!$M$7=9),"  ",ROUND((IF(Input!$M$7=1,Input!E41,IF(Input!$M$7=2,Input!E41*Input!$M$4/100,IF(Input!$M$7=3,Input!E41*Input!$P41/100,IF(Input!$M$7=4,Input!E41*Input!E$49/100," "))))),0))</f>
        <v xml:space="preserve">  </v>
      </c>
      <c r="E9" s="185" t="str">
        <f>IF(OR(E$4&gt;Input!$F$14,$B9&gt;Input!$F$10,Input!$M$7=9),"  ",ROUND((IF(Input!$M$7=1,Input!F41,IF(Input!$M$7=2,Input!F41*Input!$M$4/100,IF(Input!$M$7=3,Input!F41*Input!$P41/100,IF(Input!$M$7=4,Input!F41*Input!F$49/100," "))))),0))</f>
        <v xml:space="preserve">  </v>
      </c>
      <c r="F9" s="185" t="str">
        <f>IF(OR(F$4&gt;Input!$F$14,$B9&gt;Input!$F$10,Input!$M$7=9),"  ",ROUND((IF(Input!$M$7=1,Input!G41,IF(Input!$M$7=2,Input!G41*Input!$M$4/100,IF(Input!$M$7=3,Input!G41*Input!$P41/100,IF(Input!$M$7=4,Input!G41*Input!G$49/100," "))))),0))</f>
        <v xml:space="preserve">  </v>
      </c>
      <c r="G9" s="185" t="str">
        <f>IF(OR(G$4&gt;Input!$F$14,$B9&gt;Input!$F$10,Input!$M$7=9),"  ",ROUND((IF(Input!$M$7=1,Input!H41,IF(Input!$M$7=2,Input!H41*Input!$M$4/100,IF(Input!$M$7=3,Input!H41*Input!$P41/100,IF(Input!$M$7=4,Input!H41*Input!H$49/100," "))))),0))</f>
        <v xml:space="preserve">  </v>
      </c>
      <c r="H9" s="185" t="str">
        <f>IF(OR(H$4&gt;Input!$F$14,$B9&gt;Input!$F$10,Input!$M$7=9),"  ",ROUND((IF(Input!$M$7=1,Input!I41,IF(Input!$M$7=2,Input!I41*Input!$M$4/100,IF(Input!$M$7=3,Input!I41*Input!$P41/100,IF(Input!$M$7=4,Input!I41*Input!I$49/100," "))))),0))</f>
        <v xml:space="preserve">  </v>
      </c>
      <c r="I9" s="185" t="str">
        <f>IF(OR(I$4&gt;Input!$F$14,$B9&gt;Input!$F$10,Input!$M$7=9),"  ",ROUND((IF(Input!$M$7=1,Input!J41,IF(Input!$M$7=2,Input!J41*Input!$M$4/100,IF(Input!$M$7=3,Input!J41*Input!$P41/100,IF(Input!$M$7=4,Input!J41*Input!J$49/100," "))))),0))</f>
        <v xml:space="preserve">  </v>
      </c>
      <c r="J9" s="185" t="str">
        <f>IF(OR(J$4&gt;Input!$F$14,$B9&gt;Input!$F$10,Input!$M$7=9),"  ",ROUND((IF(Input!$M$7=1,Input!K41,IF(Input!$M$7=2,Input!K41*Input!$M$4/100,IF(Input!$M$7=3,Input!K41*Input!$P41/100,IF(Input!$M$7=4,Input!K41*Input!K$49/100," "))))),0))</f>
        <v xml:space="preserve">  </v>
      </c>
      <c r="K9" s="185" t="str">
        <f>IF(OR(K$4&gt;Input!$F$14,$B9&gt;Input!$F$10,Input!$M$7=9),"  ",ROUND((IF(Input!$M$7=1,Input!L41,IF(Input!$M$7=2,Input!L41*Input!$M$4/100,IF(Input!$M$7=3,Input!L41*Input!$P41/100,IF(Input!$M$7=4,Input!L41*Input!L$49/100," "))))),0))</f>
        <v xml:space="preserve">  </v>
      </c>
      <c r="L9" s="185" t="str">
        <f>IF(OR(L$4&gt;Input!$F$14,$B9&gt;Input!$F$10,Input!$M$7=9),"  ",ROUND((IF(Input!$M$7=1,Input!M41,IF(Input!$M$7=2,Input!M41*Input!$M$4/100,IF(Input!$M$7=3,Input!M41*Input!$P41/100,IF(Input!$M$7=4,Input!M41*Input!M$49/100," "))))),0))</f>
        <v xml:space="preserve">  </v>
      </c>
      <c r="M9" s="185" t="str">
        <f>IF(OR(M$4&gt;Input!$F$14,$B9&gt;Input!$F$10,Input!$M$7=9),"  ",ROUND((IF(Input!$M$7=1,Input!N41,IF(Input!$M$7=2,Input!N41*Input!$M$4/100,IF(Input!$M$7=3,Input!N41*Input!$P41/100,IF(Input!$M$7=4,Input!N41*Input!N$49/100," "))))),0))</f>
        <v xml:space="preserve">  </v>
      </c>
      <c r="N9" s="186" t="str">
        <f>IF(OR(N$4&gt;Input!$F$14,$B9&gt;Input!$F$10,Input!$M$7=9),"  ",ROUND((IF(Input!$M$7=1,Input!O41,IF(Input!$M$7=2,Input!O41*Input!$M$4/100,IF(Input!$M$7=3,Input!O41*Input!$P41/100,IF(Input!$M$7=4,Input!O41*Input!O$49/100," "))))),0))</f>
        <v xml:space="preserve">  </v>
      </c>
      <c r="O9" s="187" t="str">
        <f>IF(B9&gt;Input!$F$10,"",SUM(C9:N9))</f>
        <v/>
      </c>
      <c r="P9" s="14"/>
      <c r="Q9" s="14"/>
      <c r="R9" s="3"/>
    </row>
    <row r="10" spans="1:18" x14ac:dyDescent="0.25">
      <c r="A10" s="322"/>
      <c r="B10" s="321">
        <v>7</v>
      </c>
      <c r="C10" s="184" t="str">
        <f>IF(OR(C$4&gt;Input!$F$14,$B10&gt;Input!$F$10,Input!$M$7=9),"  ",ROUND((IF(Input!$M$7=1,Input!D42,IF(Input!$M$7=2,Input!D42*Input!$M$4/100,IF(Input!$M$7=3,Input!D42*Input!$P42/100,IF(Input!$M$7=4,Input!D42*Input!D$49/100," "))))),0))</f>
        <v xml:space="preserve">  </v>
      </c>
      <c r="D10" s="185" t="str">
        <f>IF(OR(D$4&gt;Input!$F$14,$B10&gt;Input!$F$10,Input!$M$7=9),"  ",ROUND((IF(Input!$M$7=1,Input!E42,IF(Input!$M$7=2,Input!E42*Input!$M$4/100,IF(Input!$M$7=3,Input!E42*Input!$P42/100,IF(Input!$M$7=4,Input!E42*Input!E$49/100," "))))),0))</f>
        <v xml:space="preserve">  </v>
      </c>
      <c r="E10" s="185" t="str">
        <f>IF(OR(E$4&gt;Input!$F$14,$B10&gt;Input!$F$10,Input!$M$7=9),"  ",ROUND((IF(Input!$M$7=1,Input!F42,IF(Input!$M$7=2,Input!F42*Input!$M$4/100,IF(Input!$M$7=3,Input!F42*Input!$P42/100,IF(Input!$M$7=4,Input!F42*Input!F$49/100," "))))),0))</f>
        <v xml:space="preserve">  </v>
      </c>
      <c r="F10" s="185" t="str">
        <f>IF(OR(F$4&gt;Input!$F$14,$B10&gt;Input!$F$10,Input!$M$7=9),"  ",ROUND((IF(Input!$M$7=1,Input!G42,IF(Input!$M$7=2,Input!G42*Input!$M$4/100,IF(Input!$M$7=3,Input!G42*Input!$P42/100,IF(Input!$M$7=4,Input!G42*Input!G$49/100," "))))),0))</f>
        <v xml:space="preserve">  </v>
      </c>
      <c r="G10" s="185" t="str">
        <f>IF(OR(G$4&gt;Input!$F$14,$B10&gt;Input!$F$10,Input!$M$7=9),"  ",ROUND((IF(Input!$M$7=1,Input!H42,IF(Input!$M$7=2,Input!H42*Input!$M$4/100,IF(Input!$M$7=3,Input!H42*Input!$P42/100,IF(Input!$M$7=4,Input!H42*Input!H$49/100," "))))),0))</f>
        <v xml:space="preserve">  </v>
      </c>
      <c r="H10" s="185" t="str">
        <f>IF(OR(H$4&gt;Input!$F$14,$B10&gt;Input!$F$10,Input!$M$7=9),"  ",ROUND((IF(Input!$M$7=1,Input!I42,IF(Input!$M$7=2,Input!I42*Input!$M$4/100,IF(Input!$M$7=3,Input!I42*Input!$P42/100,IF(Input!$M$7=4,Input!I42*Input!I$49/100," "))))),0))</f>
        <v xml:space="preserve">  </v>
      </c>
      <c r="I10" s="185" t="str">
        <f>IF(OR(I$4&gt;Input!$F$14,$B10&gt;Input!$F$10,Input!$M$7=9),"  ",ROUND((IF(Input!$M$7=1,Input!J42,IF(Input!$M$7=2,Input!J42*Input!$M$4/100,IF(Input!$M$7=3,Input!J42*Input!$P42/100,IF(Input!$M$7=4,Input!J42*Input!J$49/100," "))))),0))</f>
        <v xml:space="preserve">  </v>
      </c>
      <c r="J10" s="185" t="str">
        <f>IF(OR(J$4&gt;Input!$F$14,$B10&gt;Input!$F$10,Input!$M$7=9),"  ",ROUND((IF(Input!$M$7=1,Input!K42,IF(Input!$M$7=2,Input!K42*Input!$M$4/100,IF(Input!$M$7=3,Input!K42*Input!$P42/100,IF(Input!$M$7=4,Input!K42*Input!K$49/100," "))))),0))</f>
        <v xml:space="preserve">  </v>
      </c>
      <c r="K10" s="185" t="str">
        <f>IF(OR(K$4&gt;Input!$F$14,$B10&gt;Input!$F$10,Input!$M$7=9),"  ",ROUND((IF(Input!$M$7=1,Input!L42,IF(Input!$M$7=2,Input!L42*Input!$M$4/100,IF(Input!$M$7=3,Input!L42*Input!$P42/100,IF(Input!$M$7=4,Input!L42*Input!L$49/100," "))))),0))</f>
        <v xml:space="preserve">  </v>
      </c>
      <c r="L10" s="185" t="str">
        <f>IF(OR(L$4&gt;Input!$F$14,$B10&gt;Input!$F$10,Input!$M$7=9),"  ",ROUND((IF(Input!$M$7=1,Input!M42,IF(Input!$M$7=2,Input!M42*Input!$M$4/100,IF(Input!$M$7=3,Input!M42*Input!$P42/100,IF(Input!$M$7=4,Input!M42*Input!M$49/100," "))))),0))</f>
        <v xml:space="preserve">  </v>
      </c>
      <c r="M10" s="185" t="str">
        <f>IF(OR(M$4&gt;Input!$F$14,$B10&gt;Input!$F$10,Input!$M$7=9),"  ",ROUND((IF(Input!$M$7=1,Input!N42,IF(Input!$M$7=2,Input!N42*Input!$M$4/100,IF(Input!$M$7=3,Input!N42*Input!$P42/100,IF(Input!$M$7=4,Input!N42*Input!N$49/100," "))))),0))</f>
        <v xml:space="preserve">  </v>
      </c>
      <c r="N10" s="186" t="str">
        <f>IF(OR(N$4&gt;Input!$F$14,$B10&gt;Input!$F$10,Input!$M$7=9),"  ",ROUND((IF(Input!$M$7=1,Input!O42,IF(Input!$M$7=2,Input!O42*Input!$M$4/100,IF(Input!$M$7=3,Input!O42*Input!$P42/100,IF(Input!$M$7=4,Input!O42*Input!O$49/100," "))))),0))</f>
        <v xml:space="preserve">  </v>
      </c>
      <c r="O10" s="187" t="str">
        <f>IF(B10&gt;Input!$F$10,"",SUM(C10:N10))</f>
        <v/>
      </c>
      <c r="P10" s="14"/>
      <c r="Q10" s="14"/>
      <c r="R10" s="3"/>
    </row>
    <row r="11" spans="1:18" x14ac:dyDescent="0.25">
      <c r="A11" s="322"/>
      <c r="B11" s="321">
        <v>6</v>
      </c>
      <c r="C11" s="184" t="str">
        <f>IF(OR(C$4&gt;Input!$F$14,$B11&gt;Input!$F$10,Input!$M$7=9),"  ",ROUND((IF(Input!$M$7=1,Input!D43,IF(Input!$M$7=2,Input!D43*Input!$M$4/100,IF(Input!$M$7=3,Input!D43*Input!$P43/100,IF(Input!$M$7=4,Input!D43*Input!D$49/100," "))))),0))</f>
        <v xml:space="preserve">  </v>
      </c>
      <c r="D11" s="185" t="str">
        <f>IF(OR(D$4&gt;Input!$F$14,$B11&gt;Input!$F$10,Input!$M$7=9),"  ",ROUND((IF(Input!$M$7=1,Input!E43,IF(Input!$M$7=2,Input!E43*Input!$M$4/100,IF(Input!$M$7=3,Input!E43*Input!$P43/100,IF(Input!$M$7=4,Input!E43*Input!E$49/100," "))))),0))</f>
        <v xml:space="preserve">  </v>
      </c>
      <c r="E11" s="185" t="str">
        <f>IF(OR(E$4&gt;Input!$F$14,$B11&gt;Input!$F$10,Input!$M$7=9),"  ",ROUND((IF(Input!$M$7=1,Input!F43,IF(Input!$M$7=2,Input!F43*Input!$M$4/100,IF(Input!$M$7=3,Input!F43*Input!$P43/100,IF(Input!$M$7=4,Input!F43*Input!F$49/100," "))))),0))</f>
        <v xml:space="preserve">  </v>
      </c>
      <c r="F11" s="185" t="str">
        <f>IF(OR(F$4&gt;Input!$F$14,$B11&gt;Input!$F$10,Input!$M$7=9),"  ",ROUND((IF(Input!$M$7=1,Input!G43,IF(Input!$M$7=2,Input!G43*Input!$M$4/100,IF(Input!$M$7=3,Input!G43*Input!$P43/100,IF(Input!$M$7=4,Input!G43*Input!G$49/100," "))))),0))</f>
        <v xml:space="preserve">  </v>
      </c>
      <c r="G11" s="185" t="str">
        <f>IF(OR(G$4&gt;Input!$F$14,$B11&gt;Input!$F$10,Input!$M$7=9),"  ",ROUND((IF(Input!$M$7=1,Input!H43,IF(Input!$M$7=2,Input!H43*Input!$M$4/100,IF(Input!$M$7=3,Input!H43*Input!$P43/100,IF(Input!$M$7=4,Input!H43*Input!H$49/100," "))))),0))</f>
        <v xml:space="preserve">  </v>
      </c>
      <c r="H11" s="185" t="str">
        <f>IF(OR(H$4&gt;Input!$F$14,$B11&gt;Input!$F$10,Input!$M$7=9),"  ",ROUND((IF(Input!$M$7=1,Input!I43,IF(Input!$M$7=2,Input!I43*Input!$M$4/100,IF(Input!$M$7=3,Input!I43*Input!$P43/100,IF(Input!$M$7=4,Input!I43*Input!I$49/100," "))))),0))</f>
        <v xml:space="preserve">  </v>
      </c>
      <c r="I11" s="185" t="str">
        <f>IF(OR(I$4&gt;Input!$F$14,$B11&gt;Input!$F$10,Input!$M$7=9),"  ",ROUND((IF(Input!$M$7=1,Input!J43,IF(Input!$M$7=2,Input!J43*Input!$M$4/100,IF(Input!$M$7=3,Input!J43*Input!$P43/100,IF(Input!$M$7=4,Input!J43*Input!J$49/100," "))))),0))</f>
        <v xml:space="preserve">  </v>
      </c>
      <c r="J11" s="185" t="str">
        <f>IF(OR(J$4&gt;Input!$F$14,$B11&gt;Input!$F$10,Input!$M$7=9),"  ",ROUND((IF(Input!$M$7=1,Input!K43,IF(Input!$M$7=2,Input!K43*Input!$M$4/100,IF(Input!$M$7=3,Input!K43*Input!$P43/100,IF(Input!$M$7=4,Input!K43*Input!K$49/100," "))))),0))</f>
        <v xml:space="preserve">  </v>
      </c>
      <c r="K11" s="185" t="str">
        <f>IF(OR(K$4&gt;Input!$F$14,$B11&gt;Input!$F$10,Input!$M$7=9),"  ",ROUND((IF(Input!$M$7=1,Input!L43,IF(Input!$M$7=2,Input!L43*Input!$M$4/100,IF(Input!$M$7=3,Input!L43*Input!$P43/100,IF(Input!$M$7=4,Input!L43*Input!L$49/100," "))))),0))</f>
        <v xml:space="preserve">  </v>
      </c>
      <c r="L11" s="185" t="str">
        <f>IF(OR(L$4&gt;Input!$F$14,$B11&gt;Input!$F$10,Input!$M$7=9),"  ",ROUND((IF(Input!$M$7=1,Input!M43,IF(Input!$M$7=2,Input!M43*Input!$M$4/100,IF(Input!$M$7=3,Input!M43*Input!$P43/100,IF(Input!$M$7=4,Input!M43*Input!M$49/100," "))))),0))</f>
        <v xml:space="preserve">  </v>
      </c>
      <c r="M11" s="185" t="str">
        <f>IF(OR(M$4&gt;Input!$F$14,$B11&gt;Input!$F$10,Input!$M$7=9),"  ",ROUND((IF(Input!$M$7=1,Input!N43,IF(Input!$M$7=2,Input!N43*Input!$M$4/100,IF(Input!$M$7=3,Input!N43*Input!$P43/100,IF(Input!$M$7=4,Input!N43*Input!N$49/100," "))))),0))</f>
        <v xml:space="preserve">  </v>
      </c>
      <c r="N11" s="186" t="str">
        <f>IF(OR(N$4&gt;Input!$F$14,$B11&gt;Input!$F$10,Input!$M$7=9),"  ",ROUND((IF(Input!$M$7=1,Input!O43,IF(Input!$M$7=2,Input!O43*Input!$M$4/100,IF(Input!$M$7=3,Input!O43*Input!$P43/100,IF(Input!$M$7=4,Input!O43*Input!O$49/100," "))))),0))</f>
        <v xml:space="preserve">  </v>
      </c>
      <c r="O11" s="187" t="str">
        <f>IF(B11&gt;Input!$F$10,"",SUM(C11:N11))</f>
        <v/>
      </c>
      <c r="P11" s="14"/>
      <c r="Q11" s="14"/>
      <c r="R11" s="3"/>
    </row>
    <row r="12" spans="1:18" x14ac:dyDescent="0.25">
      <c r="A12" s="322"/>
      <c r="B12" s="321">
        <v>5</v>
      </c>
      <c r="C12" s="184" t="str">
        <f>IF(OR(C$4&gt;Input!$F$14,$B12&gt;Input!$F$10,Input!$M$7=9),"  ",ROUND((IF(Input!$M$7=1,Input!D44,IF(Input!$M$7=2,Input!D44*Input!$M$4/100,IF(Input!$M$7=3,Input!D44*Input!$P44/100,IF(Input!$M$7=4,Input!D44*Input!D$49/100," "))))),0))</f>
        <v xml:space="preserve">  </v>
      </c>
      <c r="D12" s="185" t="str">
        <f>IF(OR(D$4&gt;Input!$F$14,$B12&gt;Input!$F$10,Input!$M$7=9),"  ",ROUND((IF(Input!$M$7=1,Input!E44,IF(Input!$M$7=2,Input!E44*Input!$M$4/100,IF(Input!$M$7=3,Input!E44*Input!$P44/100,IF(Input!$M$7=4,Input!E44*Input!E$49/100," "))))),0))</f>
        <v xml:space="preserve">  </v>
      </c>
      <c r="E12" s="185" t="str">
        <f>IF(OR(E$4&gt;Input!$F$14,$B12&gt;Input!$F$10,Input!$M$7=9),"  ",ROUND((IF(Input!$M$7=1,Input!F44,IF(Input!$M$7=2,Input!F44*Input!$M$4/100,IF(Input!$M$7=3,Input!F44*Input!$P44/100,IF(Input!$M$7=4,Input!F44*Input!F$49/100," "))))),0))</f>
        <v xml:space="preserve">  </v>
      </c>
      <c r="F12" s="185" t="str">
        <f>IF(OR(F$4&gt;Input!$F$14,$B12&gt;Input!$F$10,Input!$M$7=9),"  ",ROUND((IF(Input!$M$7=1,Input!G44,IF(Input!$M$7=2,Input!G44*Input!$M$4/100,IF(Input!$M$7=3,Input!G44*Input!$P44/100,IF(Input!$M$7=4,Input!G44*Input!G$49/100," "))))),0))</f>
        <v xml:space="preserve">  </v>
      </c>
      <c r="G12" s="185" t="str">
        <f>IF(OR(G$4&gt;Input!$F$14,$B12&gt;Input!$F$10,Input!$M$7=9),"  ",ROUND((IF(Input!$M$7=1,Input!H44,IF(Input!$M$7=2,Input!H44*Input!$M$4/100,IF(Input!$M$7=3,Input!H44*Input!$P44/100,IF(Input!$M$7=4,Input!H44*Input!H$49/100," "))))),0))</f>
        <v xml:space="preserve">  </v>
      </c>
      <c r="H12" s="185" t="str">
        <f>IF(OR(H$4&gt;Input!$F$14,$B12&gt;Input!$F$10,Input!$M$7=9),"  ",ROUND((IF(Input!$M$7=1,Input!I44,IF(Input!$M$7=2,Input!I44*Input!$M$4/100,IF(Input!$M$7=3,Input!I44*Input!$P44/100,IF(Input!$M$7=4,Input!I44*Input!I$49/100," "))))),0))</f>
        <v xml:space="preserve">  </v>
      </c>
      <c r="I12" s="185" t="str">
        <f>IF(OR(I$4&gt;Input!$F$14,$B12&gt;Input!$F$10,Input!$M$7=9),"  ",ROUND((IF(Input!$M$7=1,Input!J44,IF(Input!$M$7=2,Input!J44*Input!$M$4/100,IF(Input!$M$7=3,Input!J44*Input!$P44/100,IF(Input!$M$7=4,Input!J44*Input!J$49/100," "))))),0))</f>
        <v xml:space="preserve">  </v>
      </c>
      <c r="J12" s="185" t="str">
        <f>IF(OR(J$4&gt;Input!$F$14,$B12&gt;Input!$F$10,Input!$M$7=9),"  ",ROUND((IF(Input!$M$7=1,Input!K44,IF(Input!$M$7=2,Input!K44*Input!$M$4/100,IF(Input!$M$7=3,Input!K44*Input!$P44/100,IF(Input!$M$7=4,Input!K44*Input!K$49/100," "))))),0))</f>
        <v xml:space="preserve">  </v>
      </c>
      <c r="K12" s="185" t="str">
        <f>IF(OR(K$4&gt;Input!$F$14,$B12&gt;Input!$F$10,Input!$M$7=9),"  ",ROUND((IF(Input!$M$7=1,Input!L44,IF(Input!$M$7=2,Input!L44*Input!$M$4/100,IF(Input!$M$7=3,Input!L44*Input!$P44/100,IF(Input!$M$7=4,Input!L44*Input!L$49/100," "))))),0))</f>
        <v xml:space="preserve">  </v>
      </c>
      <c r="L12" s="185" t="str">
        <f>IF(OR(L$4&gt;Input!$F$14,$B12&gt;Input!$F$10,Input!$M$7=9),"  ",ROUND((IF(Input!$M$7=1,Input!M44,IF(Input!$M$7=2,Input!M44*Input!$M$4/100,IF(Input!$M$7=3,Input!M44*Input!$P44/100,IF(Input!$M$7=4,Input!M44*Input!M$49/100," "))))),0))</f>
        <v xml:space="preserve">  </v>
      </c>
      <c r="M12" s="185" t="str">
        <f>IF(OR(M$4&gt;Input!$F$14,$B12&gt;Input!$F$10,Input!$M$7=9),"  ",ROUND((IF(Input!$M$7=1,Input!N44,IF(Input!$M$7=2,Input!N44*Input!$M$4/100,IF(Input!$M$7=3,Input!N44*Input!$P44/100,IF(Input!$M$7=4,Input!N44*Input!N$49/100," "))))),0))</f>
        <v xml:space="preserve">  </v>
      </c>
      <c r="N12" s="186" t="str">
        <f>IF(OR(N$4&gt;Input!$F$14,$B12&gt;Input!$F$10,Input!$M$7=9),"  ",ROUND((IF(Input!$M$7=1,Input!O44,IF(Input!$M$7=2,Input!O44*Input!$M$4/100,IF(Input!$M$7=3,Input!O44*Input!$P44/100,IF(Input!$M$7=4,Input!O44*Input!O$49/100," "))))),0))</f>
        <v xml:space="preserve">  </v>
      </c>
      <c r="O12" s="187" t="str">
        <f>IF(B12&gt;Input!$F$10,"",SUM(C12:N12))</f>
        <v/>
      </c>
      <c r="P12" s="14"/>
      <c r="Q12" s="14"/>
      <c r="R12" s="3"/>
    </row>
    <row r="13" spans="1:18" x14ac:dyDescent="0.25">
      <c r="A13" s="322"/>
      <c r="B13" s="321">
        <v>4</v>
      </c>
      <c r="C13" s="184" t="str">
        <f>IF(OR(C$4&gt;Input!$F$14,$B13&gt;Input!$F$10,Input!$M$7=9),"  ",ROUND((IF(Input!$M$7=1,Input!D45,IF(Input!$M$7=2,Input!D45*Input!$M$4/100,IF(Input!$M$7=3,Input!D45*Input!$P45/100,IF(Input!$M$7=4,Input!D45*Input!D$49/100," "))))),0))</f>
        <v xml:space="preserve">  </v>
      </c>
      <c r="D13" s="185" t="str">
        <f>IF(OR(D$4&gt;Input!$F$14,$B13&gt;Input!$F$10,Input!$M$7=9),"  ",ROUND((IF(Input!$M$7=1,Input!E45,IF(Input!$M$7=2,Input!E45*Input!$M$4/100,IF(Input!$M$7=3,Input!E45*Input!$P45/100,IF(Input!$M$7=4,Input!E45*Input!E$49/100," "))))),0))</f>
        <v xml:space="preserve">  </v>
      </c>
      <c r="E13" s="185" t="str">
        <f>IF(OR(E$4&gt;Input!$F$14,$B13&gt;Input!$F$10,Input!$M$7=9),"  ",ROUND((IF(Input!$M$7=1,Input!F45,IF(Input!$M$7=2,Input!F45*Input!$M$4/100,IF(Input!$M$7=3,Input!F45*Input!$P45/100,IF(Input!$M$7=4,Input!F45*Input!F$49/100," "))))),0))</f>
        <v xml:space="preserve">  </v>
      </c>
      <c r="F13" s="185" t="str">
        <f>IF(OR(F$4&gt;Input!$F$14,$B13&gt;Input!$F$10,Input!$M$7=9),"  ",ROUND((IF(Input!$M$7=1,Input!G45,IF(Input!$M$7=2,Input!G45*Input!$M$4/100,IF(Input!$M$7=3,Input!G45*Input!$P45/100,IF(Input!$M$7=4,Input!G45*Input!G$49/100," "))))),0))</f>
        <v xml:space="preserve">  </v>
      </c>
      <c r="G13" s="185" t="str">
        <f>IF(OR(G$4&gt;Input!$F$14,$B13&gt;Input!$F$10,Input!$M$7=9),"  ",ROUND((IF(Input!$M$7=1,Input!H45,IF(Input!$M$7=2,Input!H45*Input!$M$4/100,IF(Input!$M$7=3,Input!H45*Input!$P45/100,IF(Input!$M$7=4,Input!H45*Input!H$49/100," "))))),0))</f>
        <v xml:space="preserve">  </v>
      </c>
      <c r="H13" s="185" t="str">
        <f>IF(OR(H$4&gt;Input!$F$14,$B13&gt;Input!$F$10,Input!$M$7=9),"  ",ROUND((IF(Input!$M$7=1,Input!I45,IF(Input!$M$7=2,Input!I45*Input!$M$4/100,IF(Input!$M$7=3,Input!I45*Input!$P45/100,IF(Input!$M$7=4,Input!I45*Input!I$49/100," "))))),0))</f>
        <v xml:space="preserve">  </v>
      </c>
      <c r="I13" s="185" t="str">
        <f>IF(OR(I$4&gt;Input!$F$14,$B13&gt;Input!$F$10,Input!$M$7=9),"  ",ROUND((IF(Input!$M$7=1,Input!J45,IF(Input!$M$7=2,Input!J45*Input!$M$4/100,IF(Input!$M$7=3,Input!J45*Input!$P45/100,IF(Input!$M$7=4,Input!J45*Input!J$49/100," "))))),0))</f>
        <v xml:space="preserve">  </v>
      </c>
      <c r="J13" s="185" t="str">
        <f>IF(OR(J$4&gt;Input!$F$14,$B13&gt;Input!$F$10,Input!$M$7=9),"  ",ROUND((IF(Input!$M$7=1,Input!K45,IF(Input!$M$7=2,Input!K45*Input!$M$4/100,IF(Input!$M$7=3,Input!K45*Input!$P45/100,IF(Input!$M$7=4,Input!K45*Input!K$49/100," "))))),0))</f>
        <v xml:space="preserve">  </v>
      </c>
      <c r="K13" s="185" t="str">
        <f>IF(OR(K$4&gt;Input!$F$14,$B13&gt;Input!$F$10,Input!$M$7=9),"  ",ROUND((IF(Input!$M$7=1,Input!L45,IF(Input!$M$7=2,Input!L45*Input!$M$4/100,IF(Input!$M$7=3,Input!L45*Input!$P45/100,IF(Input!$M$7=4,Input!L45*Input!L$49/100," "))))),0))</f>
        <v xml:space="preserve">  </v>
      </c>
      <c r="L13" s="185" t="str">
        <f>IF(OR(L$4&gt;Input!$F$14,$B13&gt;Input!$F$10,Input!$M$7=9),"  ",ROUND((IF(Input!$M$7=1,Input!M45,IF(Input!$M$7=2,Input!M45*Input!$M$4/100,IF(Input!$M$7=3,Input!M45*Input!$P45/100,IF(Input!$M$7=4,Input!M45*Input!M$49/100," "))))),0))</f>
        <v xml:space="preserve">  </v>
      </c>
      <c r="M13" s="185" t="str">
        <f>IF(OR(M$4&gt;Input!$F$14,$B13&gt;Input!$F$10,Input!$M$7=9),"  ",ROUND((IF(Input!$M$7=1,Input!N45,IF(Input!$M$7=2,Input!N45*Input!$M$4/100,IF(Input!$M$7=3,Input!N45*Input!$P45/100,IF(Input!$M$7=4,Input!N45*Input!N$49/100," "))))),0))</f>
        <v xml:space="preserve">  </v>
      </c>
      <c r="N13" s="186" t="str">
        <f>IF(OR(N$4&gt;Input!$F$14,$B13&gt;Input!$F$10,Input!$M$7=9),"  ",ROUND((IF(Input!$M$7=1,Input!O45,IF(Input!$M$7=2,Input!O45*Input!$M$4/100,IF(Input!$M$7=3,Input!O45*Input!$P45/100,IF(Input!$M$7=4,Input!O45*Input!O$49/100," "))))),0))</f>
        <v xml:space="preserve">  </v>
      </c>
      <c r="O13" s="187" t="str">
        <f>IF(B13&gt;Input!$F$10,"",SUM(C13:N13))</f>
        <v/>
      </c>
      <c r="P13" s="14"/>
      <c r="Q13" s="14"/>
      <c r="R13" s="3"/>
    </row>
    <row r="14" spans="1:18" x14ac:dyDescent="0.25">
      <c r="A14" s="323" t="s">
        <v>47</v>
      </c>
      <c r="B14" s="321">
        <v>3</v>
      </c>
      <c r="C14" s="184">
        <f>IF(OR(C$4&gt;Input!$F$14,$B14&gt;Input!$F$10,Input!$M$7=9),"  ",ROUND((IF(Input!$M$7=1,Input!D46,IF(Input!$M$7=2,Input!D46*Input!$M$4/100,IF(Input!$M$7=3,Input!D46*Input!$P46/100,IF(Input!$M$7=4,Input!D46*Input!D$49/100," "))))),0))</f>
        <v>1</v>
      </c>
      <c r="D14" s="185">
        <f>IF(OR(D$4&gt;Input!$F$14,$B14&gt;Input!$F$10,Input!$M$7=9),"  ",ROUND((IF(Input!$M$7=1,Input!E46,IF(Input!$M$7=2,Input!E46*Input!$M$4/100,IF(Input!$M$7=3,Input!E46*Input!$P46/100,IF(Input!$M$7=4,Input!E46*Input!E$49/100," "))))),0))</f>
        <v>11</v>
      </c>
      <c r="E14" s="185">
        <f>IF(OR(E$4&gt;Input!$F$14,$B14&gt;Input!$F$10,Input!$M$7=9),"  ",ROUND((IF(Input!$M$7=1,Input!F46,IF(Input!$M$7=2,Input!F46*Input!$M$4/100,IF(Input!$M$7=3,Input!F46*Input!$P46/100,IF(Input!$M$7=4,Input!F46*Input!F$49/100," "))))),0))</f>
        <v>19</v>
      </c>
      <c r="F14" s="185">
        <f>IF(OR(F$4&gt;Input!$F$14,$B14&gt;Input!$F$10,Input!$M$7=9),"  ",ROUND((IF(Input!$M$7=1,Input!G46,IF(Input!$M$7=2,Input!G46*Input!$M$4/100,IF(Input!$M$7=3,Input!G46*Input!$P46/100,IF(Input!$M$7=4,Input!G46*Input!G$49/100," "))))),0))</f>
        <v>25</v>
      </c>
      <c r="G14" s="185" t="str">
        <f>IF(OR(G$4&gt;Input!$F$14,$B14&gt;Input!$F$10,Input!$M$7=9),"  ",ROUND((IF(Input!$M$7=1,Input!H46,IF(Input!$M$7=2,Input!H46*Input!$M$4/100,IF(Input!$M$7=3,Input!H46*Input!$P46/100,IF(Input!$M$7=4,Input!H46*Input!H$49/100," "))))),0))</f>
        <v xml:space="preserve">  </v>
      </c>
      <c r="H14" s="185" t="str">
        <f>IF(OR(H$4&gt;Input!$F$14,$B14&gt;Input!$F$10,Input!$M$7=9),"  ",ROUND((IF(Input!$M$7=1,Input!I46,IF(Input!$M$7=2,Input!I46*Input!$M$4/100,IF(Input!$M$7=3,Input!I46*Input!$P46/100,IF(Input!$M$7=4,Input!I46*Input!I$49/100," "))))),0))</f>
        <v xml:space="preserve">  </v>
      </c>
      <c r="I14" s="185" t="str">
        <f>IF(OR(I$4&gt;Input!$F$14,$B14&gt;Input!$F$10,Input!$M$7=9),"  ",ROUND((IF(Input!$M$7=1,Input!J46,IF(Input!$M$7=2,Input!J46*Input!$M$4/100,IF(Input!$M$7=3,Input!J46*Input!$P46/100,IF(Input!$M$7=4,Input!J46*Input!J$49/100," "))))),0))</f>
        <v xml:space="preserve">  </v>
      </c>
      <c r="J14" s="185" t="str">
        <f>IF(OR(J$4&gt;Input!$F$14,$B14&gt;Input!$F$10,Input!$M$7=9),"  ",ROUND((IF(Input!$M$7=1,Input!K46,IF(Input!$M$7=2,Input!K46*Input!$M$4/100,IF(Input!$M$7=3,Input!K46*Input!$P46/100,IF(Input!$M$7=4,Input!K46*Input!K$49/100," "))))),0))</f>
        <v xml:space="preserve">  </v>
      </c>
      <c r="K14" s="185" t="str">
        <f>IF(OR(K$4&gt;Input!$F$14,$B14&gt;Input!$F$10,Input!$M$7=9),"  ",ROUND((IF(Input!$M$7=1,Input!L46,IF(Input!$M$7=2,Input!L46*Input!$M$4/100,IF(Input!$M$7=3,Input!L46*Input!$P46/100,IF(Input!$M$7=4,Input!L46*Input!L$49/100," "))))),0))</f>
        <v xml:space="preserve">  </v>
      </c>
      <c r="L14" s="185" t="str">
        <f>IF(OR(L$4&gt;Input!$F$14,$B14&gt;Input!$F$10,Input!$M$7=9),"  ",ROUND((IF(Input!$M$7=1,Input!M46,IF(Input!$M$7=2,Input!M46*Input!$M$4/100,IF(Input!$M$7=3,Input!M46*Input!$P46/100,IF(Input!$M$7=4,Input!M46*Input!M$49/100," "))))),0))</f>
        <v xml:space="preserve">  </v>
      </c>
      <c r="M14" s="185" t="str">
        <f>IF(OR(M$4&gt;Input!$F$14,$B14&gt;Input!$F$10,Input!$M$7=9),"  ",ROUND((IF(Input!$M$7=1,Input!N46,IF(Input!$M$7=2,Input!N46*Input!$M$4/100,IF(Input!$M$7=3,Input!N46*Input!$P46/100,IF(Input!$M$7=4,Input!N46*Input!N$49/100," "))))),0))</f>
        <v xml:space="preserve">  </v>
      </c>
      <c r="N14" s="186" t="str">
        <f>IF(OR(N$4&gt;Input!$F$14,$B14&gt;Input!$F$10,Input!$M$7=9),"  ",ROUND((IF(Input!$M$7=1,Input!O46,IF(Input!$M$7=2,Input!O46*Input!$M$4/100,IF(Input!$M$7=3,Input!O46*Input!$P46/100,IF(Input!$M$7=4,Input!O46*Input!O$49/100," "))))),0))</f>
        <v xml:space="preserve">  </v>
      </c>
      <c r="O14" s="187">
        <f>IF(B14&gt;Input!$F$10,"",SUM(C14:N14))</f>
        <v>56</v>
      </c>
      <c r="P14" s="14"/>
      <c r="Q14" s="14"/>
      <c r="R14" s="3"/>
    </row>
    <row r="15" spans="1:18" x14ac:dyDescent="0.25">
      <c r="A15" s="323" t="s">
        <v>46</v>
      </c>
      <c r="B15" s="321">
        <v>2</v>
      </c>
      <c r="C15" s="184">
        <f>IF(OR(C$4&gt;Input!$F$14,$B15&gt;Input!$F$10,Input!$M$7=9),"  ",ROUND((IF(Input!$M$7=1,Input!D47,IF(Input!$M$7=2,Input!D47*Input!$M$4/100,IF(Input!$M$7=3,Input!D47*Input!$P47/100,IF(Input!$M$7=4,Input!D47*Input!D$49/100," "))))),0))</f>
        <v>19</v>
      </c>
      <c r="D15" s="185">
        <f>IF(OR(D$4&gt;Input!$F$14,$B15&gt;Input!$F$10,Input!$M$7=9),"  ",ROUND((IF(Input!$M$7=1,Input!E47,IF(Input!$M$7=2,Input!E47*Input!$M$4/100,IF(Input!$M$7=3,Input!E47*Input!$P47/100,IF(Input!$M$7=4,Input!E47*Input!E$49/100," "))))),0))</f>
        <v>19</v>
      </c>
      <c r="E15" s="185">
        <f>IF(OR(E$4&gt;Input!$F$14,$B15&gt;Input!$F$10,Input!$M$7=9),"  ",ROUND((IF(Input!$M$7=1,Input!F47,IF(Input!$M$7=2,Input!F47*Input!$M$4/100,IF(Input!$M$7=3,Input!F47*Input!$P47/100,IF(Input!$M$7=4,Input!F47*Input!F$49/100," "))))),0))</f>
        <v>27</v>
      </c>
      <c r="F15" s="185">
        <f>IF(OR(F$4&gt;Input!$F$14,$B15&gt;Input!$F$10,Input!$M$7=9),"  ",ROUND((IF(Input!$M$7=1,Input!G47,IF(Input!$M$7=2,Input!G47*Input!$M$4/100,IF(Input!$M$7=3,Input!G47*Input!$P47/100,IF(Input!$M$7=4,Input!G47*Input!G$49/100," "))))),0))</f>
        <v>41</v>
      </c>
      <c r="G15" s="185" t="str">
        <f>IF(OR(G$4&gt;Input!$F$14,$B15&gt;Input!$F$10,Input!$M$7=9),"  ",ROUND((IF(Input!$M$7=1,Input!H47,IF(Input!$M$7=2,Input!H47*Input!$M$4/100,IF(Input!$M$7=3,Input!H47*Input!$P47/100,IF(Input!$M$7=4,Input!H47*Input!H$49/100," "))))),0))</f>
        <v xml:space="preserve">  </v>
      </c>
      <c r="H15" s="185" t="str">
        <f>IF(OR(H$4&gt;Input!$F$14,$B15&gt;Input!$F$10,Input!$M$7=9),"  ",ROUND((IF(Input!$M$7=1,Input!I47,IF(Input!$M$7=2,Input!I47*Input!$M$4/100,IF(Input!$M$7=3,Input!I47*Input!$P47/100,IF(Input!$M$7=4,Input!I47*Input!I$49/100," "))))),0))</f>
        <v xml:space="preserve">  </v>
      </c>
      <c r="I15" s="185" t="str">
        <f>IF(OR(I$4&gt;Input!$F$14,$B15&gt;Input!$F$10,Input!$M$7=9),"  ",ROUND((IF(Input!$M$7=1,Input!J47,IF(Input!$M$7=2,Input!J47*Input!$M$4/100,IF(Input!$M$7=3,Input!J47*Input!$P47/100,IF(Input!$M$7=4,Input!J47*Input!J$49/100," "))))),0))</f>
        <v xml:space="preserve">  </v>
      </c>
      <c r="J15" s="185" t="str">
        <f>IF(OR(J$4&gt;Input!$F$14,$B15&gt;Input!$F$10,Input!$M$7=9),"  ",ROUND((IF(Input!$M$7=1,Input!K47,IF(Input!$M$7=2,Input!K47*Input!$M$4/100,IF(Input!$M$7=3,Input!K47*Input!$P47/100,IF(Input!$M$7=4,Input!K47*Input!K$49/100," "))))),0))</f>
        <v xml:space="preserve">  </v>
      </c>
      <c r="K15" s="185" t="str">
        <f>IF(OR(K$4&gt;Input!$F$14,$B15&gt;Input!$F$10,Input!$M$7=9),"  ",ROUND((IF(Input!$M$7=1,Input!L47,IF(Input!$M$7=2,Input!L47*Input!$M$4/100,IF(Input!$M$7=3,Input!L47*Input!$P47/100,IF(Input!$M$7=4,Input!L47*Input!L$49/100," "))))),0))</f>
        <v xml:space="preserve">  </v>
      </c>
      <c r="L15" s="185" t="str">
        <f>IF(OR(L$4&gt;Input!$F$14,$B15&gt;Input!$F$10,Input!$M$7=9),"  ",ROUND((IF(Input!$M$7=1,Input!M47,IF(Input!$M$7=2,Input!M47*Input!$M$4/100,IF(Input!$M$7=3,Input!M47*Input!$P47/100,IF(Input!$M$7=4,Input!M47*Input!M$49/100," "))))),0))</f>
        <v xml:space="preserve">  </v>
      </c>
      <c r="M15" s="185" t="str">
        <f>IF(OR(M$4&gt;Input!$F$14,$B15&gt;Input!$F$10,Input!$M$7=9),"  ",ROUND((IF(Input!$M$7=1,Input!N47,IF(Input!$M$7=2,Input!N47*Input!$M$4/100,IF(Input!$M$7=3,Input!N47*Input!$P47/100,IF(Input!$M$7=4,Input!N47*Input!N$49/100," "))))),0))</f>
        <v xml:space="preserve">  </v>
      </c>
      <c r="N15" s="186" t="str">
        <f>IF(OR(N$4&gt;Input!$F$14,$B15&gt;Input!$F$10,Input!$M$7=9),"  ",ROUND((IF(Input!$M$7=1,Input!O47,IF(Input!$M$7=2,Input!O47*Input!$M$4/100,IF(Input!$M$7=3,Input!O47*Input!$P47/100,IF(Input!$M$7=4,Input!O47*Input!O$49/100," "))))),0))</f>
        <v xml:space="preserve">  </v>
      </c>
      <c r="O15" s="187">
        <f>IF(B15&gt;Input!$F$10,"",SUM(C15:N15))</f>
        <v>106</v>
      </c>
      <c r="P15" s="14"/>
      <c r="Q15" s="14"/>
      <c r="R15" s="3"/>
    </row>
    <row r="16" spans="1:18" ht="13.8" thickBot="1" x14ac:dyDescent="0.3">
      <c r="A16" s="323" t="s">
        <v>46</v>
      </c>
      <c r="B16" s="324">
        <v>1</v>
      </c>
      <c r="C16" s="188">
        <f>IF(OR(C$4&gt;Input!$F$14,$B16&gt;Input!$F$10,Input!$M$7=9),"  ",ROUND((IF(Input!$M$7=1,Input!D48,IF(Input!$M$7=2,Input!D48*Input!$M$4/100,IF(Input!$M$7=3,Input!D48*Input!$P48/100,IF(Input!$M$7=4,Input!D48*Input!D$49/100," "))))),0))</f>
        <v>45</v>
      </c>
      <c r="D16" s="189">
        <f>IF(OR(D$4&gt;Input!$F$14,$B16&gt;Input!$F$10,Input!$M$7=9),"  ",ROUND((IF(Input!$M$7=1,Input!E48,IF(Input!$M$7=2,Input!E48*Input!$M$4/100,IF(Input!$M$7=3,Input!E48*Input!$P48/100,IF(Input!$M$7=4,Input!E48*Input!E$49/100," "))))),0))</f>
        <v>24</v>
      </c>
      <c r="E16" s="189">
        <f>IF(OR(E$4&gt;Input!$F$14,$B16&gt;Input!$F$10,Input!$M$7=9),"  ",ROUND((IF(Input!$M$7=1,Input!F48,IF(Input!$M$7=2,Input!F48*Input!$M$4/100,IF(Input!$M$7=3,Input!F48*Input!$P48/100,IF(Input!$M$7=4,Input!F48*Input!F$49/100," "))))),0))</f>
        <v>7</v>
      </c>
      <c r="F16" s="189">
        <f>IF(OR(F$4&gt;Input!$F$14,$B16&gt;Input!$F$10,Input!$M$7=9),"  ",ROUND((IF(Input!$M$7=1,Input!G48,IF(Input!$M$7=2,Input!G48*Input!$M$4/100,IF(Input!$M$7=3,Input!G48*Input!$P48/100,IF(Input!$M$7=4,Input!G48*Input!G$49/100," "))))),0))</f>
        <v>7</v>
      </c>
      <c r="G16" s="189" t="str">
        <f>IF(OR(G$4&gt;Input!$F$14,$B16&gt;Input!$F$10,Input!$M$7=9),"  ",ROUND((IF(Input!$M$7=1,Input!H48,IF(Input!$M$7=2,Input!H48*Input!$M$4/100,IF(Input!$M$7=3,Input!H48*Input!$P48/100,IF(Input!$M$7=4,Input!H48*Input!H$49/100," "))))),0))</f>
        <v xml:space="preserve">  </v>
      </c>
      <c r="H16" s="189" t="str">
        <f>IF(OR(H$4&gt;Input!$F$14,$B16&gt;Input!$F$10,Input!$M$7=9),"  ",ROUND((IF(Input!$M$7=1,Input!I48,IF(Input!$M$7=2,Input!I48*Input!$M$4/100,IF(Input!$M$7=3,Input!I48*Input!$P48/100,IF(Input!$M$7=4,Input!I48*Input!I$49/100," "))))),0))</f>
        <v xml:space="preserve">  </v>
      </c>
      <c r="I16" s="189" t="str">
        <f>IF(OR(I$4&gt;Input!$F$14,$B16&gt;Input!$F$10,Input!$M$7=9),"  ",ROUND((IF(Input!$M$7=1,Input!J48,IF(Input!$M$7=2,Input!J48*Input!$M$4/100,IF(Input!$M$7=3,Input!J48*Input!$P48/100,IF(Input!$M$7=4,Input!J48*Input!J$49/100," "))))),0))</f>
        <v xml:space="preserve">  </v>
      </c>
      <c r="J16" s="189" t="str">
        <f>IF(OR(J$4&gt;Input!$F$14,$B16&gt;Input!$F$10,Input!$M$7=9),"  ",ROUND((IF(Input!$M$7=1,Input!K48,IF(Input!$M$7=2,Input!K48*Input!$M$4/100,IF(Input!$M$7=3,Input!K48*Input!$P48/100,IF(Input!$M$7=4,Input!K48*Input!K$49/100," "))))),0))</f>
        <v xml:space="preserve">  </v>
      </c>
      <c r="K16" s="189" t="str">
        <f>IF(OR(K$4&gt;Input!$F$14,$B16&gt;Input!$F$10,Input!$M$7=9),"  ",ROUND((IF(Input!$M$7=1,Input!L48,IF(Input!$M$7=2,Input!L48*Input!$M$4/100,IF(Input!$M$7=3,Input!L48*Input!$P48/100,IF(Input!$M$7=4,Input!L48*Input!L$49/100," "))))),0))</f>
        <v xml:space="preserve">  </v>
      </c>
      <c r="L16" s="189" t="str">
        <f>IF(OR(L$4&gt;Input!$F$14,$B16&gt;Input!$F$10,Input!$M$7=9),"  ",ROUND((IF(Input!$M$7=1,Input!M48,IF(Input!$M$7=2,Input!M48*Input!$M$4/100,IF(Input!$M$7=3,Input!M48*Input!$P48/100,IF(Input!$M$7=4,Input!M48*Input!M$49/100," "))))),0))</f>
        <v xml:space="preserve">  </v>
      </c>
      <c r="M16" s="189" t="str">
        <f>IF(OR(M$4&gt;Input!$F$14,$B16&gt;Input!$F$10,Input!$M$7=9),"  ",ROUND((IF(Input!$M$7=1,Input!N48,IF(Input!$M$7=2,Input!N48*Input!$M$4/100,IF(Input!$M$7=3,Input!N48*Input!$P48/100,IF(Input!$M$7=4,Input!N48*Input!N$49/100," "))))),0))</f>
        <v xml:space="preserve">  </v>
      </c>
      <c r="N16" s="190" t="str">
        <f>IF(OR(N$4&gt;Input!$F$14,$B16&gt;Input!$F$10,Input!$M$7=9),"  ",ROUND((IF(Input!$M$7=1,Input!O48,IF(Input!$M$7=2,Input!O48*Input!$M$4/100,IF(Input!$M$7=3,Input!O48*Input!$P48/100,IF(Input!$M$7=4,Input!O48*Input!O$49/100," "))))),0))</f>
        <v xml:space="preserve">  </v>
      </c>
      <c r="O16" s="191">
        <f>IF(B16&gt;Input!$F$10,"",SUM(C16:N16))</f>
        <v>83</v>
      </c>
      <c r="P16" s="14"/>
      <c r="Q16" s="14"/>
      <c r="R16" s="3"/>
    </row>
    <row r="17" spans="1:18" ht="13.8" thickBot="1" x14ac:dyDescent="0.3">
      <c r="A17" s="323" t="s">
        <v>46</v>
      </c>
      <c r="B17" s="325" t="s">
        <v>0</v>
      </c>
      <c r="C17" s="192">
        <f>IF(C4&gt;Input!$F$14,"",SUM(C5:C16))</f>
        <v>65</v>
      </c>
      <c r="D17" s="193">
        <f>IF(D4&gt;Input!$F$14,"",SUM(D5:D16))</f>
        <v>54</v>
      </c>
      <c r="E17" s="193">
        <f>IF(E4&gt;Input!$F$14,"",SUM(E5:E16))</f>
        <v>53</v>
      </c>
      <c r="F17" s="193">
        <f>IF(F4&gt;Input!$F$14,"",SUM(F5:F16))</f>
        <v>73</v>
      </c>
      <c r="G17" s="193" t="str">
        <f>IF(G4&gt;Input!$F$14,"",SUM(G5:G16))</f>
        <v/>
      </c>
      <c r="H17" s="193" t="str">
        <f>IF(H4&gt;Input!$F$14,"",SUM(H5:H16))</f>
        <v/>
      </c>
      <c r="I17" s="193" t="str">
        <f>IF(I4&gt;Input!$F$14,"",SUM(I5:I16))</f>
        <v/>
      </c>
      <c r="J17" s="193" t="str">
        <f>IF(J4&gt;Input!$F$14,"",SUM(J5:J16))</f>
        <v/>
      </c>
      <c r="K17" s="193" t="str">
        <f>IF(K4&gt;Input!$F$14,"",SUM(K5:K16))</f>
        <v/>
      </c>
      <c r="L17" s="193" t="str">
        <f>IF(L4&gt;Input!$F$14,"",SUM(L5:L16))</f>
        <v/>
      </c>
      <c r="M17" s="193" t="str">
        <f>IF(M4&gt;Input!$F$14,"",SUM(M5:M16))</f>
        <v/>
      </c>
      <c r="N17" s="194" t="str">
        <f>IF(N4&gt;Input!$F$14,"",SUM(N5:N16))</f>
        <v/>
      </c>
      <c r="O17" s="195">
        <f>IF(SUM(C17:N17)=SUM(O5:O16),SUM(C17:N17),"")</f>
        <v>245</v>
      </c>
      <c r="P17" s="14"/>
      <c r="Q17" s="14"/>
      <c r="R17" s="3"/>
    </row>
    <row r="18" spans="1:18" x14ac:dyDescent="0.25">
      <c r="A18" s="326" t="s">
        <v>18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14"/>
      <c r="R18" s="3"/>
    </row>
    <row r="19" spans="1:18" ht="13.8" thickBot="1" x14ac:dyDescent="0.3">
      <c r="A19" s="14"/>
      <c r="B19" s="327" t="s">
        <v>9</v>
      </c>
      <c r="C19" s="14"/>
      <c r="D19" s="14"/>
      <c r="E19" s="14"/>
      <c r="F19" s="14"/>
      <c r="G19" s="314" t="s">
        <v>19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8" ht="13.8" thickBot="1" x14ac:dyDescent="0.3">
      <c r="A20" s="14"/>
      <c r="B20" s="315"/>
      <c r="C20" s="316">
        <v>1</v>
      </c>
      <c r="D20" s="317">
        <f t="shared" ref="D20:N20" si="1">C20+1</f>
        <v>2</v>
      </c>
      <c r="E20" s="317">
        <f t="shared" si="1"/>
        <v>3</v>
      </c>
      <c r="F20" s="317">
        <f t="shared" si="1"/>
        <v>4</v>
      </c>
      <c r="G20" s="317">
        <f t="shared" si="1"/>
        <v>5</v>
      </c>
      <c r="H20" s="317">
        <f t="shared" si="1"/>
        <v>6</v>
      </c>
      <c r="I20" s="317">
        <f t="shared" si="1"/>
        <v>7</v>
      </c>
      <c r="J20" s="317">
        <f t="shared" si="1"/>
        <v>8</v>
      </c>
      <c r="K20" s="317">
        <f t="shared" si="1"/>
        <v>9</v>
      </c>
      <c r="L20" s="317">
        <f t="shared" si="1"/>
        <v>10</v>
      </c>
      <c r="M20" s="317">
        <f t="shared" si="1"/>
        <v>11</v>
      </c>
      <c r="N20" s="318">
        <f t="shared" si="1"/>
        <v>12</v>
      </c>
      <c r="O20" s="319" t="s">
        <v>0</v>
      </c>
      <c r="P20" s="14"/>
      <c r="Q20" s="14"/>
    </row>
    <row r="21" spans="1:18" x14ac:dyDescent="0.25">
      <c r="A21" s="267">
        <f>IF(A$8=0,IF(AND(A22+0.5&lt;A$5,MAX(A22:A$32)&lt;A$5),A22+1,0),IF(A22-0.5&gt;A$6,A22-1,0))</f>
        <v>0</v>
      </c>
      <c r="B21" s="320">
        <v>12</v>
      </c>
      <c r="C21" s="180">
        <f>IF(OR($B21&gt;Input!$F$10,C$20&gt;Input!$F$14),0,Frequencies!C5)</f>
        <v>0</v>
      </c>
      <c r="D21" s="181">
        <f>IF(OR($B21&gt;Input!$F$10,D$20&gt;Input!$F$14),0,Frequencies!D5)</f>
        <v>0</v>
      </c>
      <c r="E21" s="181">
        <f>IF(OR($B21&gt;Input!$F$10,E$20&gt;Input!$F$14),0,Frequencies!E5)</f>
        <v>0</v>
      </c>
      <c r="F21" s="181">
        <f>IF(OR($B21&gt;Input!$F$10,F$20&gt;Input!$F$14),0,Frequencies!F5)</f>
        <v>0</v>
      </c>
      <c r="G21" s="181">
        <f>IF(OR($B21&gt;Input!$F$10,G$20&gt;Input!$F$14),0,Frequencies!G5)</f>
        <v>0</v>
      </c>
      <c r="H21" s="181">
        <f>IF(OR($B21&gt;Input!$F$10,H$20&gt;Input!$F$14),0,Frequencies!H5)</f>
        <v>0</v>
      </c>
      <c r="I21" s="181">
        <f>IF(OR($B21&gt;Input!$F$10,I$20&gt;Input!$F$14),0,Frequencies!I5)</f>
        <v>0</v>
      </c>
      <c r="J21" s="181">
        <f>IF(OR($B21&gt;Input!$F$10,J$20&gt;Input!$F$14),0,Frequencies!J5)</f>
        <v>0</v>
      </c>
      <c r="K21" s="181">
        <f>IF(OR($B21&gt;Input!$F$10,K$20&gt;Input!$F$14),0,Frequencies!K5)</f>
        <v>0</v>
      </c>
      <c r="L21" s="181">
        <f>IF(OR($B21&gt;Input!$F$10,L$20&gt;Input!$F$14),0,Frequencies!L5)</f>
        <v>0</v>
      </c>
      <c r="M21" s="181">
        <f>IF(OR($B21&gt;Input!$F$10,M$20&gt;Input!$F$14),0,Frequencies!M5)</f>
        <v>0</v>
      </c>
      <c r="N21" s="182">
        <f>IF(OR($B21&gt;Input!$F$10,N$20&gt;Input!$F$14),0,Frequencies!N5)</f>
        <v>0</v>
      </c>
      <c r="O21" s="196">
        <f t="shared" ref="O21:O32" si="2">SUM(C21:N21)</f>
        <v>0</v>
      </c>
      <c r="P21" s="14"/>
      <c r="Q21" s="14"/>
    </row>
    <row r="22" spans="1:18" x14ac:dyDescent="0.25">
      <c r="A22" s="267">
        <f>IF(A$8=0,IF(AND(A23+0.5&lt;A$5,MAX(A23:A$32)&lt;A$5),A23+1,0),IF(A23-0.5&gt;A$6,A23-1,0))</f>
        <v>0</v>
      </c>
      <c r="B22" s="321">
        <v>11</v>
      </c>
      <c r="C22" s="184">
        <f>IF(OR($B22&gt;Input!$F$10,C$20&gt;Input!$F$14),0,Frequencies!C6)</f>
        <v>0</v>
      </c>
      <c r="D22" s="185">
        <f>IF(OR($B22&gt;Input!$F$10,D$20&gt;Input!$F$14),0,Frequencies!D6)</f>
        <v>0</v>
      </c>
      <c r="E22" s="185">
        <f>IF(OR($B22&gt;Input!$F$10,E$20&gt;Input!$F$14),0,Frequencies!E6)</f>
        <v>0</v>
      </c>
      <c r="F22" s="185">
        <f>IF(OR($B22&gt;Input!$F$10,F$20&gt;Input!$F$14),0,Frequencies!F6)</f>
        <v>0</v>
      </c>
      <c r="G22" s="185">
        <f>IF(OR($B22&gt;Input!$F$10,G$20&gt;Input!$F$14),0,Frequencies!G6)</f>
        <v>0</v>
      </c>
      <c r="H22" s="185">
        <f>IF(OR($B22&gt;Input!$F$10,H$20&gt;Input!$F$14),0,Frequencies!H6)</f>
        <v>0</v>
      </c>
      <c r="I22" s="185">
        <f>IF(OR($B22&gt;Input!$F$10,I$20&gt;Input!$F$14),0,Frequencies!I6)</f>
        <v>0</v>
      </c>
      <c r="J22" s="185">
        <f>IF(OR($B22&gt;Input!$F$10,J$20&gt;Input!$F$14),0,Frequencies!J6)</f>
        <v>0</v>
      </c>
      <c r="K22" s="185">
        <f>IF(OR($B22&gt;Input!$F$10,K$20&gt;Input!$F$14),0,Frequencies!K6)</f>
        <v>0</v>
      </c>
      <c r="L22" s="185">
        <f>IF(OR($B22&gt;Input!$F$10,L$20&gt;Input!$F$14),0,Frequencies!L6)</f>
        <v>0</v>
      </c>
      <c r="M22" s="185">
        <f>IF(OR($B22&gt;Input!$F$10,M$20&gt;Input!$F$14),0,Frequencies!M6)</f>
        <v>0</v>
      </c>
      <c r="N22" s="186">
        <f>IF(OR($B22&gt;Input!$F$10,N$20&gt;Input!$F$14),0,Frequencies!N6)</f>
        <v>0</v>
      </c>
      <c r="O22" s="197">
        <f t="shared" si="2"/>
        <v>0</v>
      </c>
      <c r="P22" s="14"/>
      <c r="Q22" s="14"/>
    </row>
    <row r="23" spans="1:18" x14ac:dyDescent="0.25">
      <c r="A23" s="267">
        <f>IF(A$8=0,IF(AND(A24+0.5&lt;A$5,MAX(A24:A$32)&lt;A$5),A24+1,0),IF(A24-0.5&gt;A$6,A24-1,0))</f>
        <v>0</v>
      </c>
      <c r="B23" s="321">
        <v>10</v>
      </c>
      <c r="C23" s="184">
        <f>IF(OR($B23&gt;Input!$F$10,C$20&gt;Input!$F$14),0,Frequencies!C7)</f>
        <v>0</v>
      </c>
      <c r="D23" s="185">
        <f>IF(OR($B23&gt;Input!$F$10,D$20&gt;Input!$F$14),0,Frequencies!D7)</f>
        <v>0</v>
      </c>
      <c r="E23" s="185">
        <f>IF(OR($B23&gt;Input!$F$10,E$20&gt;Input!$F$14),0,Frequencies!E7)</f>
        <v>0</v>
      </c>
      <c r="F23" s="185">
        <f>IF(OR($B23&gt;Input!$F$10,F$20&gt;Input!$F$14),0,Frequencies!F7)</f>
        <v>0</v>
      </c>
      <c r="G23" s="185">
        <f>IF(OR($B23&gt;Input!$F$10,G$20&gt;Input!$F$14),0,Frequencies!G7)</f>
        <v>0</v>
      </c>
      <c r="H23" s="185">
        <f>IF(OR($B23&gt;Input!$F$10,H$20&gt;Input!$F$14),0,Frequencies!H7)</f>
        <v>0</v>
      </c>
      <c r="I23" s="185">
        <f>IF(OR($B23&gt;Input!$F$10,I$20&gt;Input!$F$14),0,Frequencies!I7)</f>
        <v>0</v>
      </c>
      <c r="J23" s="185">
        <f>IF(OR($B23&gt;Input!$F$10,J$20&gt;Input!$F$14),0,Frequencies!J7)</f>
        <v>0</v>
      </c>
      <c r="K23" s="185">
        <f>IF(OR($B23&gt;Input!$F$10,K$20&gt;Input!$F$14),0,Frequencies!K7)</f>
        <v>0</v>
      </c>
      <c r="L23" s="185">
        <f>IF(OR($B23&gt;Input!$F$10,L$20&gt;Input!$F$14),0,Frequencies!L7)</f>
        <v>0</v>
      </c>
      <c r="M23" s="185">
        <f>IF(OR($B23&gt;Input!$F$10,M$20&gt;Input!$F$14),0,Frequencies!M7)</f>
        <v>0</v>
      </c>
      <c r="N23" s="186">
        <f>IF(OR($B23&gt;Input!$F$10,N$20&gt;Input!$F$14),0,Frequencies!N7)</f>
        <v>0</v>
      </c>
      <c r="O23" s="197">
        <f t="shared" si="2"/>
        <v>0</v>
      </c>
      <c r="P23" s="14"/>
      <c r="Q23" s="14"/>
    </row>
    <row r="24" spans="1:18" x14ac:dyDescent="0.25">
      <c r="A24" s="267">
        <f>IF(A$8=0,IF(AND(A25+0.5&lt;A$5,MAX(A25:A$32)&lt;A$5),A25+1,0),IF(A25-0.5&gt;A$6,A25-1,0))</f>
        <v>0</v>
      </c>
      <c r="B24" s="321">
        <v>9</v>
      </c>
      <c r="C24" s="184">
        <f>IF(OR($B24&gt;Input!$F$10,C$20&gt;Input!$F$14),0,Frequencies!C8)</f>
        <v>0</v>
      </c>
      <c r="D24" s="185">
        <f>IF(OR($B24&gt;Input!$F$10,D$20&gt;Input!$F$14),0,Frequencies!D8)</f>
        <v>0</v>
      </c>
      <c r="E24" s="185">
        <f>IF(OR($B24&gt;Input!$F$10,E$20&gt;Input!$F$14),0,Frequencies!E8)</f>
        <v>0</v>
      </c>
      <c r="F24" s="185">
        <f>IF(OR($B24&gt;Input!$F$10,F$20&gt;Input!$F$14),0,Frequencies!F8)</f>
        <v>0</v>
      </c>
      <c r="G24" s="185">
        <f>IF(OR($B24&gt;Input!$F$10,G$20&gt;Input!$F$14),0,Frequencies!G8)</f>
        <v>0</v>
      </c>
      <c r="H24" s="185">
        <f>IF(OR($B24&gt;Input!$F$10,H$20&gt;Input!$F$14),0,Frequencies!H8)</f>
        <v>0</v>
      </c>
      <c r="I24" s="185">
        <f>IF(OR($B24&gt;Input!$F$10,I$20&gt;Input!$F$14),0,Frequencies!I8)</f>
        <v>0</v>
      </c>
      <c r="J24" s="185">
        <f>IF(OR($B24&gt;Input!$F$10,J$20&gt;Input!$F$14),0,Frequencies!J8)</f>
        <v>0</v>
      </c>
      <c r="K24" s="185">
        <f>IF(OR($B24&gt;Input!$F$10,K$20&gt;Input!$F$14),0,Frequencies!K8)</f>
        <v>0</v>
      </c>
      <c r="L24" s="185">
        <f>IF(OR($B24&gt;Input!$F$10,L$20&gt;Input!$F$14),0,Frequencies!L8)</f>
        <v>0</v>
      </c>
      <c r="M24" s="185">
        <f>IF(OR($B24&gt;Input!$F$10,M$20&gt;Input!$F$14),0,Frequencies!M8)</f>
        <v>0</v>
      </c>
      <c r="N24" s="186">
        <f>IF(OR($B24&gt;Input!$F$10,N$20&gt;Input!$F$14),0,Frequencies!N8)</f>
        <v>0</v>
      </c>
      <c r="O24" s="197">
        <f t="shared" si="2"/>
        <v>0</v>
      </c>
      <c r="P24" s="14"/>
      <c r="Q24" s="14"/>
    </row>
    <row r="25" spans="1:18" x14ac:dyDescent="0.25">
      <c r="A25" s="267">
        <f>IF(A$8=0,IF(AND(A26+0.5&lt;A$5,MAX(A26:A$32)&lt;A$5),A26+1,0),IF(A26-0.5&gt;A$6,A26-1,0))</f>
        <v>0</v>
      </c>
      <c r="B25" s="321">
        <v>8</v>
      </c>
      <c r="C25" s="184">
        <f>IF(OR($B25&gt;Input!$F$10,C$20&gt;Input!$F$14),0,Frequencies!C9)</f>
        <v>0</v>
      </c>
      <c r="D25" s="185">
        <f>IF(OR($B25&gt;Input!$F$10,D$20&gt;Input!$F$14),0,Frequencies!D9)</f>
        <v>0</v>
      </c>
      <c r="E25" s="185">
        <f>IF(OR($B25&gt;Input!$F$10,E$20&gt;Input!$F$14),0,Frequencies!E9)</f>
        <v>0</v>
      </c>
      <c r="F25" s="185">
        <f>IF(OR($B25&gt;Input!$F$10,F$20&gt;Input!$F$14),0,Frequencies!F9)</f>
        <v>0</v>
      </c>
      <c r="G25" s="185">
        <f>IF(OR($B25&gt;Input!$F$10,G$20&gt;Input!$F$14),0,Frequencies!G9)</f>
        <v>0</v>
      </c>
      <c r="H25" s="185">
        <f>IF(OR($B25&gt;Input!$F$10,H$20&gt;Input!$F$14),0,Frequencies!H9)</f>
        <v>0</v>
      </c>
      <c r="I25" s="185">
        <f>IF(OR($B25&gt;Input!$F$10,I$20&gt;Input!$F$14),0,Frequencies!I9)</f>
        <v>0</v>
      </c>
      <c r="J25" s="185">
        <f>IF(OR($B25&gt;Input!$F$10,J$20&gt;Input!$F$14),0,Frequencies!J9)</f>
        <v>0</v>
      </c>
      <c r="K25" s="185">
        <f>IF(OR($B25&gt;Input!$F$10,K$20&gt;Input!$F$14),0,Frequencies!K9)</f>
        <v>0</v>
      </c>
      <c r="L25" s="185">
        <f>IF(OR($B25&gt;Input!$F$10,L$20&gt;Input!$F$14),0,Frequencies!L9)</f>
        <v>0</v>
      </c>
      <c r="M25" s="185">
        <f>IF(OR($B25&gt;Input!$F$10,M$20&gt;Input!$F$14),0,Frequencies!M9)</f>
        <v>0</v>
      </c>
      <c r="N25" s="186">
        <f>IF(OR($B25&gt;Input!$F$10,N$20&gt;Input!$F$14),0,Frequencies!N9)</f>
        <v>0</v>
      </c>
      <c r="O25" s="197">
        <f t="shared" si="2"/>
        <v>0</v>
      </c>
      <c r="P25" s="14"/>
      <c r="Q25" s="14"/>
    </row>
    <row r="26" spans="1:18" x14ac:dyDescent="0.25">
      <c r="A26" s="267">
        <f>IF(A$8=0,IF(AND(A27+0.5&lt;A$5,MAX(A27:A$32)&lt;A$5),A27+1,0),IF(A27-0.5&gt;A$6,A27-1,0))</f>
        <v>0</v>
      </c>
      <c r="B26" s="321">
        <v>7</v>
      </c>
      <c r="C26" s="184">
        <f>IF(OR($B26&gt;Input!$F$10,C$20&gt;Input!$F$14),0,Frequencies!C10)</f>
        <v>0</v>
      </c>
      <c r="D26" s="185">
        <f>IF(OR($B26&gt;Input!$F$10,D$20&gt;Input!$F$14),0,Frequencies!D10)</f>
        <v>0</v>
      </c>
      <c r="E26" s="185">
        <f>IF(OR($B26&gt;Input!$F$10,E$20&gt;Input!$F$14),0,Frequencies!E10)</f>
        <v>0</v>
      </c>
      <c r="F26" s="185">
        <f>IF(OR($B26&gt;Input!$F$10,F$20&gt;Input!$F$14),0,Frequencies!F10)</f>
        <v>0</v>
      </c>
      <c r="G26" s="185">
        <f>IF(OR($B26&gt;Input!$F$10,G$20&gt;Input!$F$14),0,Frequencies!G10)</f>
        <v>0</v>
      </c>
      <c r="H26" s="185">
        <f>IF(OR($B26&gt;Input!$F$10,H$20&gt;Input!$F$14),0,Frequencies!H10)</f>
        <v>0</v>
      </c>
      <c r="I26" s="185">
        <f>IF(OR($B26&gt;Input!$F$10,I$20&gt;Input!$F$14),0,Frequencies!I10)</f>
        <v>0</v>
      </c>
      <c r="J26" s="185">
        <f>IF(OR($B26&gt;Input!$F$10,J$20&gt;Input!$F$14),0,Frequencies!J10)</f>
        <v>0</v>
      </c>
      <c r="K26" s="185">
        <f>IF(OR($B26&gt;Input!$F$10,K$20&gt;Input!$F$14),0,Frequencies!K10)</f>
        <v>0</v>
      </c>
      <c r="L26" s="185">
        <f>IF(OR($B26&gt;Input!$F$10,L$20&gt;Input!$F$14),0,Frequencies!L10)</f>
        <v>0</v>
      </c>
      <c r="M26" s="185">
        <f>IF(OR($B26&gt;Input!$F$10,M$20&gt;Input!$F$14),0,Frequencies!M10)</f>
        <v>0</v>
      </c>
      <c r="N26" s="186">
        <f>IF(OR($B26&gt;Input!$F$10,N$20&gt;Input!$F$14),0,Frequencies!N10)</f>
        <v>0</v>
      </c>
      <c r="O26" s="197">
        <f t="shared" si="2"/>
        <v>0</v>
      </c>
      <c r="P26" s="14"/>
      <c r="Q26" s="14"/>
    </row>
    <row r="27" spans="1:18" x14ac:dyDescent="0.25">
      <c r="A27" s="267">
        <f>IF(A$8=0,IF(AND(A28+0.5&lt;A$5,MAX(A28:A$32)&lt;A$5),A28+1,0),IF(A28-0.5&gt;A$6,A28-1,0))</f>
        <v>0</v>
      </c>
      <c r="B27" s="321">
        <v>6</v>
      </c>
      <c r="C27" s="184">
        <f>IF(OR($B27&gt;Input!$F$10,C$20&gt;Input!$F$14),0,Frequencies!C11)</f>
        <v>0</v>
      </c>
      <c r="D27" s="185">
        <f>IF(OR($B27&gt;Input!$F$10,D$20&gt;Input!$F$14),0,Frequencies!D11)</f>
        <v>0</v>
      </c>
      <c r="E27" s="185">
        <f>IF(OR($B27&gt;Input!$F$10,E$20&gt;Input!$F$14),0,Frequencies!E11)</f>
        <v>0</v>
      </c>
      <c r="F27" s="185">
        <f>IF(OR($B27&gt;Input!$F$10,F$20&gt;Input!$F$14),0,Frequencies!F11)</f>
        <v>0</v>
      </c>
      <c r="G27" s="185">
        <f>IF(OR($B27&gt;Input!$F$10,G$20&gt;Input!$F$14),0,Frequencies!G11)</f>
        <v>0</v>
      </c>
      <c r="H27" s="185">
        <f>IF(OR($B27&gt;Input!$F$10,H$20&gt;Input!$F$14),0,Frequencies!H11)</f>
        <v>0</v>
      </c>
      <c r="I27" s="185">
        <f>IF(OR($B27&gt;Input!$F$10,I$20&gt;Input!$F$14),0,Frequencies!I11)</f>
        <v>0</v>
      </c>
      <c r="J27" s="185">
        <f>IF(OR($B27&gt;Input!$F$10,J$20&gt;Input!$F$14),0,Frequencies!J11)</f>
        <v>0</v>
      </c>
      <c r="K27" s="185">
        <f>IF(OR($B27&gt;Input!$F$10,K$20&gt;Input!$F$14),0,Frequencies!K11)</f>
        <v>0</v>
      </c>
      <c r="L27" s="185">
        <f>IF(OR($B27&gt;Input!$F$10,L$20&gt;Input!$F$14),0,Frequencies!L11)</f>
        <v>0</v>
      </c>
      <c r="M27" s="185">
        <f>IF(OR($B27&gt;Input!$F$10,M$20&gt;Input!$F$14),0,Frequencies!M11)</f>
        <v>0</v>
      </c>
      <c r="N27" s="186">
        <f>IF(OR($B27&gt;Input!$F$10,N$20&gt;Input!$F$14),0,Frequencies!N11)</f>
        <v>0</v>
      </c>
      <c r="O27" s="197">
        <f t="shared" si="2"/>
        <v>0</v>
      </c>
      <c r="P27" s="14"/>
      <c r="Q27" s="14"/>
    </row>
    <row r="28" spans="1:18" x14ac:dyDescent="0.25">
      <c r="A28" s="267">
        <f>IF(A$8=0,IF(AND(A29+0.5&lt;A$5,MAX(A29:A$32)&lt;A$5),A29+1,0),IF(A29-0.5&gt;A$6,A29-1,0))</f>
        <v>0</v>
      </c>
      <c r="B28" s="321">
        <v>5</v>
      </c>
      <c r="C28" s="184">
        <f>IF(OR($B28&gt;Input!$F$10,C$20&gt;Input!$F$14),0,Frequencies!C12)</f>
        <v>0</v>
      </c>
      <c r="D28" s="185">
        <f>IF(OR($B28&gt;Input!$F$10,D$20&gt;Input!$F$14),0,Frequencies!D12)</f>
        <v>0</v>
      </c>
      <c r="E28" s="185">
        <f>IF(OR($B28&gt;Input!$F$10,E$20&gt;Input!$F$14),0,Frequencies!E12)</f>
        <v>0</v>
      </c>
      <c r="F28" s="185">
        <f>IF(OR($B28&gt;Input!$F$10,F$20&gt;Input!$F$14),0,Frequencies!F12)</f>
        <v>0</v>
      </c>
      <c r="G28" s="185">
        <f>IF(OR($B28&gt;Input!$F$10,G$20&gt;Input!$F$14),0,Frequencies!G12)</f>
        <v>0</v>
      </c>
      <c r="H28" s="185">
        <f>IF(OR($B28&gt;Input!$F$10,H$20&gt;Input!$F$14),0,Frequencies!H12)</f>
        <v>0</v>
      </c>
      <c r="I28" s="185">
        <f>IF(OR($B28&gt;Input!$F$10,I$20&gt;Input!$F$14),0,Frequencies!I12)</f>
        <v>0</v>
      </c>
      <c r="J28" s="185">
        <f>IF(OR($B28&gt;Input!$F$10,J$20&gt;Input!$F$14),0,Frequencies!J12)</f>
        <v>0</v>
      </c>
      <c r="K28" s="185">
        <f>IF(OR($B28&gt;Input!$F$10,K$20&gt;Input!$F$14),0,Frequencies!K12)</f>
        <v>0</v>
      </c>
      <c r="L28" s="185">
        <f>IF(OR($B28&gt;Input!$F$10,L$20&gt;Input!$F$14),0,Frequencies!L12)</f>
        <v>0</v>
      </c>
      <c r="M28" s="185">
        <f>IF(OR($B28&gt;Input!$F$10,M$20&gt;Input!$F$14),0,Frequencies!M12)</f>
        <v>0</v>
      </c>
      <c r="N28" s="186">
        <f>IF(OR($B28&gt;Input!$F$10,N$20&gt;Input!$F$14),0,Frequencies!N12)</f>
        <v>0</v>
      </c>
      <c r="O28" s="197">
        <f t="shared" si="2"/>
        <v>0</v>
      </c>
      <c r="P28" s="14"/>
      <c r="Q28" s="14"/>
    </row>
    <row r="29" spans="1:18" x14ac:dyDescent="0.25">
      <c r="A29" s="267">
        <f>IF(A$8=0,IF(AND(A30+0.5&lt;A$5,MAX(A30:A$32)&lt;A$5),A30+1,0),IF(A30-0.5&gt;A$6,A30-1,0))</f>
        <v>0</v>
      </c>
      <c r="B29" s="321">
        <v>4</v>
      </c>
      <c r="C29" s="184">
        <f>IF(OR($B29&gt;Input!$F$10,C$20&gt;Input!$F$14),0,Frequencies!C13)</f>
        <v>0</v>
      </c>
      <c r="D29" s="185">
        <f>IF(OR($B29&gt;Input!$F$10,D$20&gt;Input!$F$14),0,Frequencies!D13)</f>
        <v>0</v>
      </c>
      <c r="E29" s="185">
        <f>IF(OR($B29&gt;Input!$F$10,E$20&gt;Input!$F$14),0,Frequencies!E13)</f>
        <v>0</v>
      </c>
      <c r="F29" s="185">
        <f>IF(OR($B29&gt;Input!$F$10,F$20&gt;Input!$F$14),0,Frequencies!F13)</f>
        <v>0</v>
      </c>
      <c r="G29" s="185">
        <f>IF(OR($B29&gt;Input!$F$10,G$20&gt;Input!$F$14),0,Frequencies!G13)</f>
        <v>0</v>
      </c>
      <c r="H29" s="185">
        <f>IF(OR($B29&gt;Input!$F$10,H$20&gt;Input!$F$14),0,Frequencies!H13)</f>
        <v>0</v>
      </c>
      <c r="I29" s="185">
        <f>IF(OR($B29&gt;Input!$F$10,I$20&gt;Input!$F$14),0,Frequencies!I13)</f>
        <v>0</v>
      </c>
      <c r="J29" s="185">
        <f>IF(OR($B29&gt;Input!$F$10,J$20&gt;Input!$F$14),0,Frequencies!J13)</f>
        <v>0</v>
      </c>
      <c r="K29" s="185">
        <f>IF(OR($B29&gt;Input!$F$10,K$20&gt;Input!$F$14),0,Frequencies!K13)</f>
        <v>0</v>
      </c>
      <c r="L29" s="185">
        <f>IF(OR($B29&gt;Input!$F$10,L$20&gt;Input!$F$14),0,Frequencies!L13)</f>
        <v>0</v>
      </c>
      <c r="M29" s="185">
        <f>IF(OR($B29&gt;Input!$F$10,M$20&gt;Input!$F$14),0,Frequencies!M13)</f>
        <v>0</v>
      </c>
      <c r="N29" s="186">
        <f>IF(OR($B29&gt;Input!$F$10,N$20&gt;Input!$F$14),0,Frequencies!N13)</f>
        <v>0</v>
      </c>
      <c r="O29" s="197">
        <f t="shared" si="2"/>
        <v>0</v>
      </c>
      <c r="P29" s="14"/>
      <c r="Q29" s="14"/>
    </row>
    <row r="30" spans="1:18" x14ac:dyDescent="0.25">
      <c r="A30" s="267">
        <f>IF(A$8=0,IF(AND(A31+0.5&lt;A$5,MAX(A31:A$32)&lt;A$5),A31+1,0),IF(A31-0.5&gt;A$6,A31-1,0))</f>
        <v>3</v>
      </c>
      <c r="B30" s="321">
        <v>3</v>
      </c>
      <c r="C30" s="184">
        <f>IF(OR($B30&gt;Input!$F$10,C$20&gt;Input!$F$14),0,Frequencies!C14)</f>
        <v>1</v>
      </c>
      <c r="D30" s="185">
        <f>IF(OR($B30&gt;Input!$F$10,D$20&gt;Input!$F$14),0,Frequencies!D14)</f>
        <v>11</v>
      </c>
      <c r="E30" s="185">
        <f>IF(OR($B30&gt;Input!$F$10,E$20&gt;Input!$F$14),0,Frequencies!E14)</f>
        <v>19</v>
      </c>
      <c r="F30" s="185">
        <f>IF(OR($B30&gt;Input!$F$10,F$20&gt;Input!$F$14),0,Frequencies!F14)</f>
        <v>25</v>
      </c>
      <c r="G30" s="185">
        <f>IF(OR($B30&gt;Input!$F$10,G$20&gt;Input!$F$14),0,Frequencies!G14)</f>
        <v>0</v>
      </c>
      <c r="H30" s="185">
        <f>IF(OR($B30&gt;Input!$F$10,H$20&gt;Input!$F$14),0,Frequencies!H14)</f>
        <v>0</v>
      </c>
      <c r="I30" s="185">
        <f>IF(OR($B30&gt;Input!$F$10,I$20&gt;Input!$F$14),0,Frequencies!I14)</f>
        <v>0</v>
      </c>
      <c r="J30" s="185">
        <f>IF(OR($B30&gt;Input!$F$10,J$20&gt;Input!$F$14),0,Frequencies!J14)</f>
        <v>0</v>
      </c>
      <c r="K30" s="185">
        <f>IF(OR($B30&gt;Input!$F$10,K$20&gt;Input!$F$14),0,Frequencies!K14)</f>
        <v>0</v>
      </c>
      <c r="L30" s="185">
        <f>IF(OR($B30&gt;Input!$F$10,L$20&gt;Input!$F$14),0,Frequencies!L14)</f>
        <v>0</v>
      </c>
      <c r="M30" s="185">
        <f>IF(OR($B30&gt;Input!$F$10,M$20&gt;Input!$F$14),0,Frequencies!M14)</f>
        <v>0</v>
      </c>
      <c r="N30" s="186">
        <f>IF(OR($B30&gt;Input!$F$10,N$20&gt;Input!$F$14),0,Frequencies!N14)</f>
        <v>0</v>
      </c>
      <c r="O30" s="197">
        <f t="shared" si="2"/>
        <v>56</v>
      </c>
      <c r="P30" s="14"/>
      <c r="Q30" s="14"/>
    </row>
    <row r="31" spans="1:18" x14ac:dyDescent="0.25">
      <c r="A31" s="267">
        <f>IF(A$8=0,IF(AND(A32+0.5&lt;A$5,MAX(A32:A$32)&lt;A$5),A32+1,0),IF(A32-0.5&gt;A$6,A32-1,0))</f>
        <v>2</v>
      </c>
      <c r="B31" s="321">
        <v>2</v>
      </c>
      <c r="C31" s="184">
        <f>IF(OR($B31&gt;Input!$F$10,C$20&gt;Input!$F$14),0,Frequencies!C15)</f>
        <v>19</v>
      </c>
      <c r="D31" s="185">
        <f>IF(OR($B31&gt;Input!$F$10,D$20&gt;Input!$F$14),0,Frequencies!D15)</f>
        <v>19</v>
      </c>
      <c r="E31" s="185">
        <f>IF(OR($B31&gt;Input!$F$10,E$20&gt;Input!$F$14),0,Frequencies!E15)</f>
        <v>27</v>
      </c>
      <c r="F31" s="185">
        <f>IF(OR($B31&gt;Input!$F$10,F$20&gt;Input!$F$14),0,Frequencies!F15)</f>
        <v>41</v>
      </c>
      <c r="G31" s="185">
        <f>IF(OR($B31&gt;Input!$F$10,G$20&gt;Input!$F$14),0,Frequencies!G15)</f>
        <v>0</v>
      </c>
      <c r="H31" s="185">
        <f>IF(OR($B31&gt;Input!$F$10,H$20&gt;Input!$F$14),0,Frequencies!H15)</f>
        <v>0</v>
      </c>
      <c r="I31" s="185">
        <f>IF(OR($B31&gt;Input!$F$10,I$20&gt;Input!$F$14),0,Frequencies!I15)</f>
        <v>0</v>
      </c>
      <c r="J31" s="185">
        <f>IF(OR($B31&gt;Input!$F$10,J$20&gt;Input!$F$14),0,Frequencies!J15)</f>
        <v>0</v>
      </c>
      <c r="K31" s="185">
        <f>IF(OR($B31&gt;Input!$F$10,K$20&gt;Input!$F$14),0,Frequencies!K15)</f>
        <v>0</v>
      </c>
      <c r="L31" s="185">
        <f>IF(OR($B31&gt;Input!$F$10,L$20&gt;Input!$F$14),0,Frequencies!L15)</f>
        <v>0</v>
      </c>
      <c r="M31" s="185">
        <f>IF(OR($B31&gt;Input!$F$10,M$20&gt;Input!$F$14),0,Frequencies!M15)</f>
        <v>0</v>
      </c>
      <c r="N31" s="186">
        <f>IF(OR($B31&gt;Input!$F$10,N$20&gt;Input!$F$14),0,Frequencies!N15)</f>
        <v>0</v>
      </c>
      <c r="O31" s="197">
        <f t="shared" si="2"/>
        <v>106</v>
      </c>
      <c r="P31" s="14"/>
      <c r="Q31" s="14"/>
    </row>
    <row r="32" spans="1:18" ht="13.8" thickBot="1" x14ac:dyDescent="0.3">
      <c r="A32" s="267">
        <f>IF(A8=1,A5,A6)</f>
        <v>1</v>
      </c>
      <c r="B32" s="324">
        <v>1</v>
      </c>
      <c r="C32" s="188">
        <f>IF(OR($B32&gt;Input!$F$10,C$20&gt;Input!$F$14),0,Frequencies!C16)</f>
        <v>45</v>
      </c>
      <c r="D32" s="189">
        <f>IF(OR($B32&gt;Input!$F$10,D$20&gt;Input!$F$14),0,Frequencies!D16)</f>
        <v>24</v>
      </c>
      <c r="E32" s="189">
        <f>IF(OR($B32&gt;Input!$F$10,E$20&gt;Input!$F$14),0,Frequencies!E16)</f>
        <v>7</v>
      </c>
      <c r="F32" s="189">
        <f>IF(OR($B32&gt;Input!$F$10,F$20&gt;Input!$F$14),0,Frequencies!F16)</f>
        <v>7</v>
      </c>
      <c r="G32" s="189">
        <f>IF(OR($B32&gt;Input!$F$10,G$20&gt;Input!$F$14),0,Frequencies!G16)</f>
        <v>0</v>
      </c>
      <c r="H32" s="189">
        <f>IF(OR($B32&gt;Input!$F$10,H$20&gt;Input!$F$14),0,Frequencies!H16)</f>
        <v>0</v>
      </c>
      <c r="I32" s="189">
        <f>IF(OR($B32&gt;Input!$F$10,I$20&gt;Input!$F$14),0,Frequencies!I16)</f>
        <v>0</v>
      </c>
      <c r="J32" s="189">
        <f>IF(OR($B32&gt;Input!$F$10,J$20&gt;Input!$F$14),0,Frequencies!J16)</f>
        <v>0</v>
      </c>
      <c r="K32" s="189">
        <f>IF(OR($B32&gt;Input!$F$10,K$20&gt;Input!$F$14),0,Frequencies!K16)</f>
        <v>0</v>
      </c>
      <c r="L32" s="189">
        <f>IF(OR($B32&gt;Input!$F$10,L$20&gt;Input!$F$14),0,Frequencies!L16)</f>
        <v>0</v>
      </c>
      <c r="M32" s="189">
        <f>IF(OR($B32&gt;Input!$F$10,M$20&gt;Input!$F$14),0,Frequencies!M16)</f>
        <v>0</v>
      </c>
      <c r="N32" s="190">
        <f>IF(OR($B32&gt;Input!$F$10,N$20&gt;Input!$F$14),0,Frequencies!N16)</f>
        <v>0</v>
      </c>
      <c r="O32" s="198">
        <f t="shared" si="2"/>
        <v>83</v>
      </c>
      <c r="P32" s="14"/>
      <c r="Q32" s="14"/>
    </row>
    <row r="33" spans="1:18" ht="13.8" thickBot="1" x14ac:dyDescent="0.3">
      <c r="A33" s="14"/>
      <c r="B33" s="328" t="s">
        <v>0</v>
      </c>
      <c r="C33" s="199">
        <f t="shared" ref="C33:N33" si="3">SUM(C21:C32)</f>
        <v>65</v>
      </c>
      <c r="D33" s="200">
        <f t="shared" si="3"/>
        <v>54</v>
      </c>
      <c r="E33" s="200">
        <f t="shared" si="3"/>
        <v>53</v>
      </c>
      <c r="F33" s="200">
        <f t="shared" si="3"/>
        <v>73</v>
      </c>
      <c r="G33" s="200">
        <f t="shared" si="3"/>
        <v>0</v>
      </c>
      <c r="H33" s="200">
        <f t="shared" si="3"/>
        <v>0</v>
      </c>
      <c r="I33" s="200">
        <f t="shared" si="3"/>
        <v>0</v>
      </c>
      <c r="J33" s="200">
        <f t="shared" si="3"/>
        <v>0</v>
      </c>
      <c r="K33" s="200">
        <f t="shared" si="3"/>
        <v>0</v>
      </c>
      <c r="L33" s="200">
        <f t="shared" si="3"/>
        <v>0</v>
      </c>
      <c r="M33" s="200">
        <f t="shared" si="3"/>
        <v>0</v>
      </c>
      <c r="N33" s="201">
        <f t="shared" si="3"/>
        <v>0</v>
      </c>
      <c r="O33" s="195">
        <f>IF(SUM(C33:N33)=SUM(O21:O32),SUM(C33:N33),"")</f>
        <v>245</v>
      </c>
      <c r="P33" s="14"/>
      <c r="Q33" s="14"/>
    </row>
    <row r="34" spans="1:18" x14ac:dyDescent="0.25">
      <c r="A34" s="14"/>
      <c r="B34" s="320" t="s">
        <v>68</v>
      </c>
      <c r="C34" s="202">
        <f>IF(C33&lt;2,0,(($A21-C39)*($A21-C39)*C21+($A22-C39)*($A22-C39)*C22+($A23-C39)*($A23-C39)*C23+($A24-C39)*($A24-C39)*C24+($A25-C39)*($A25-C39)*C25+($A26-C39)*($A26-C39)*C26+($A27-C39)*($A27-C39)*C27+($A28-C39)*($A28-C39)*C28+($A29-C39)*($A29-C39)*C29+($A30-C39)*($A30-C39)*C30+($A31-C39)*($A31-C39)*C31+($A32-C39)*($A32-C39)*C32))</f>
        <v>16.215384615384615</v>
      </c>
      <c r="D34" s="268">
        <f t="shared" ref="D34:N34" si="4">IF(D33&lt;2,0,(($A21-D39)*($A21-D39)*D21+($A22-D39)*($A22-D39)*D22+($A23-D39)*($A23-D39)*D23+($A24-D39)*($A24-D39)*D24+($A25-D39)*($A25-D39)*D25+($A26-D39)*($A26-D39)*D26+($A27-D39)*($A27-D39)*D27+($A28-D39)*($A28-D39)*D28+($A29-D39)*($A29-D39)*D29+($A30-D39)*($A30-D39)*D30+($A31-D39)*($A31-D39)*D31+($A32-D39)*($A32-D39)*D32))</f>
        <v>31.87037037037037</v>
      </c>
      <c r="E34" s="268">
        <f t="shared" si="4"/>
        <v>23.283018867924532</v>
      </c>
      <c r="F34" s="268">
        <f t="shared" si="4"/>
        <v>27.56164383561644</v>
      </c>
      <c r="G34" s="268">
        <f t="shared" si="4"/>
        <v>0</v>
      </c>
      <c r="H34" s="268">
        <f t="shared" si="4"/>
        <v>0</v>
      </c>
      <c r="I34" s="268">
        <f t="shared" si="4"/>
        <v>0</v>
      </c>
      <c r="J34" s="268">
        <f t="shared" si="4"/>
        <v>0</v>
      </c>
      <c r="K34" s="268">
        <f t="shared" si="4"/>
        <v>0</v>
      </c>
      <c r="L34" s="268">
        <f t="shared" si="4"/>
        <v>0</v>
      </c>
      <c r="M34" s="268">
        <f t="shared" si="4"/>
        <v>0</v>
      </c>
      <c r="N34" s="269">
        <f t="shared" si="4"/>
        <v>0</v>
      </c>
      <c r="O34" s="203">
        <f>IF(O33&lt;2,0,(($A21-O39)*($A21-O39)*O21+($A22-O39)*($A22-O39)*O22+($A23-O39)*($A23-O39)*O23+($A24-O39)*($A24-O39)*O24+($A25-O39)*($A25-O39)*O25+($A26-O39)*($A26-O39)*O26+($A27-O39)*($A27-O39)*O27+($A28-O39)*($A28-O39)*O28+($A29-O39)*($A29-O39)*O29+($A30-O39)*($A30-O39)*O30+($A31-O39)*($A31-O39)*O31+($A32-O39)*($A32-O39)*O32))</f>
        <v>136.02448979591838</v>
      </c>
      <c r="P34" s="14"/>
      <c r="Q34" s="14"/>
    </row>
    <row r="35" spans="1:18" ht="13.8" thickBot="1" x14ac:dyDescent="0.3">
      <c r="A35" s="14"/>
      <c r="B35" s="324" t="s">
        <v>69</v>
      </c>
      <c r="C35" s="188">
        <f t="shared" ref="C35:O35" si="5">MAX(C33-1,0)</f>
        <v>64</v>
      </c>
      <c r="D35" s="189">
        <f t="shared" si="5"/>
        <v>53</v>
      </c>
      <c r="E35" s="189">
        <f t="shared" si="5"/>
        <v>52</v>
      </c>
      <c r="F35" s="189">
        <f t="shared" si="5"/>
        <v>72</v>
      </c>
      <c r="G35" s="189">
        <f t="shared" si="5"/>
        <v>0</v>
      </c>
      <c r="H35" s="189">
        <f t="shared" si="5"/>
        <v>0</v>
      </c>
      <c r="I35" s="189">
        <f t="shared" si="5"/>
        <v>0</v>
      </c>
      <c r="J35" s="189">
        <f t="shared" si="5"/>
        <v>0</v>
      </c>
      <c r="K35" s="189">
        <f t="shared" si="5"/>
        <v>0</v>
      </c>
      <c r="L35" s="189">
        <f t="shared" si="5"/>
        <v>0</v>
      </c>
      <c r="M35" s="189">
        <f t="shared" si="5"/>
        <v>0</v>
      </c>
      <c r="N35" s="190">
        <f t="shared" si="5"/>
        <v>0</v>
      </c>
      <c r="O35" s="204">
        <f t="shared" si="5"/>
        <v>244</v>
      </c>
      <c r="P35" s="14"/>
      <c r="Q35" s="14"/>
    </row>
    <row r="36" spans="1:18" x14ac:dyDescent="0.25">
      <c r="A36" s="14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4"/>
      <c r="Q36" s="14"/>
      <c r="R36" s="59"/>
    </row>
    <row r="37" spans="1:18" ht="13.8" thickBot="1" x14ac:dyDescent="0.3">
      <c r="A37" s="14"/>
      <c r="B37" s="12" t="s">
        <v>32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4"/>
      <c r="Q37" s="14"/>
    </row>
    <row r="38" spans="1:18" ht="13.8" thickBot="1" x14ac:dyDescent="0.3">
      <c r="A38" s="14"/>
      <c r="B38" s="12"/>
      <c r="C38" s="329">
        <v>1</v>
      </c>
      <c r="D38" s="330">
        <f t="shared" ref="D38:N38" si="6">C38+1</f>
        <v>2</v>
      </c>
      <c r="E38" s="330">
        <f t="shared" si="6"/>
        <v>3</v>
      </c>
      <c r="F38" s="330">
        <f t="shared" si="6"/>
        <v>4</v>
      </c>
      <c r="G38" s="330">
        <f t="shared" si="6"/>
        <v>5</v>
      </c>
      <c r="H38" s="330">
        <f t="shared" si="6"/>
        <v>6</v>
      </c>
      <c r="I38" s="330">
        <f t="shared" si="6"/>
        <v>7</v>
      </c>
      <c r="J38" s="330">
        <f t="shared" si="6"/>
        <v>8</v>
      </c>
      <c r="K38" s="330">
        <f t="shared" si="6"/>
        <v>9</v>
      </c>
      <c r="L38" s="330">
        <f t="shared" si="6"/>
        <v>10</v>
      </c>
      <c r="M38" s="330">
        <f t="shared" si="6"/>
        <v>11</v>
      </c>
      <c r="N38" s="331">
        <f t="shared" si="6"/>
        <v>12</v>
      </c>
      <c r="O38" s="332" t="s">
        <v>31</v>
      </c>
      <c r="P38" s="14"/>
      <c r="Q38" s="14"/>
    </row>
    <row r="39" spans="1:18" ht="13.8" thickBot="1" x14ac:dyDescent="0.3">
      <c r="A39" s="14"/>
      <c r="B39" s="152" t="s">
        <v>105</v>
      </c>
      <c r="C39" s="333">
        <f>IF(C33=0," ",($A21*C21+$A22*C22+$A23*C23+$A24*C24+$A25*C25+$A26*C26+$A27*C27+$A28*C28+$A29*C29+$A30*C30+$A31*C31+$A32*C32)/C33)</f>
        <v>1.323076923076923</v>
      </c>
      <c r="D39" s="334">
        <f t="shared" ref="D39:N39" si="7">IF(D33=0," ",($A21*D21+$A22*D22+$A23*D23+$A24*D24+$A25*D25+$A26*D26+$A27*D27+$A28*D28+$A29*D29+$A30*D30+$A31*D31+$A32*D32)/D33)</f>
        <v>1.7592592592592593</v>
      </c>
      <c r="E39" s="334">
        <f t="shared" si="7"/>
        <v>2.2264150943396226</v>
      </c>
      <c r="F39" s="334">
        <f t="shared" si="7"/>
        <v>2.2465753424657535</v>
      </c>
      <c r="G39" s="334" t="str">
        <f t="shared" si="7"/>
        <v xml:space="preserve"> </v>
      </c>
      <c r="H39" s="334" t="str">
        <f t="shared" si="7"/>
        <v xml:space="preserve"> </v>
      </c>
      <c r="I39" s="334" t="str">
        <f t="shared" si="7"/>
        <v xml:space="preserve"> </v>
      </c>
      <c r="J39" s="334" t="str">
        <f t="shared" si="7"/>
        <v xml:space="preserve"> </v>
      </c>
      <c r="K39" s="334" t="str">
        <f t="shared" si="7"/>
        <v xml:space="preserve"> </v>
      </c>
      <c r="L39" s="334" t="str">
        <f t="shared" si="7"/>
        <v xml:space="preserve"> </v>
      </c>
      <c r="M39" s="334" t="str">
        <f t="shared" si="7"/>
        <v xml:space="preserve"> </v>
      </c>
      <c r="N39" s="335" t="str">
        <f t="shared" si="7"/>
        <v xml:space="preserve"> </v>
      </c>
      <c r="O39" s="333">
        <f>IF(O33=0," ",($A21*O21+$A22*O22+$A23*O23+$A24*O24+$A25*O25+$A26*O26+$A27*O27+$A28*O28+$A29*O29+$A30*O30+$A31*O31+$A32*O32)/O33)</f>
        <v>1.8897959183673469</v>
      </c>
      <c r="P39" s="14"/>
      <c r="Q39" s="14"/>
    </row>
    <row r="40" spans="1:18" ht="13.8" thickBot="1" x14ac:dyDescent="0.3">
      <c r="A40" s="3"/>
      <c r="B40" s="152" t="s">
        <v>104</v>
      </c>
      <c r="C40" s="85">
        <f t="shared" ref="C40:O40" si="8">IF(C33&lt;2," ",SQRT(C34/C35))</f>
        <v>0.50335413439782595</v>
      </c>
      <c r="D40" s="86">
        <f t="shared" si="8"/>
        <v>0.77545324993656251</v>
      </c>
      <c r="E40" s="86">
        <f t="shared" si="8"/>
        <v>0.66914151182294956</v>
      </c>
      <c r="F40" s="86">
        <f t="shared" si="8"/>
        <v>0.61870882394548576</v>
      </c>
      <c r="G40" s="86" t="str">
        <f t="shared" si="8"/>
        <v xml:space="preserve"> </v>
      </c>
      <c r="H40" s="86" t="str">
        <f t="shared" si="8"/>
        <v xml:space="preserve"> </v>
      </c>
      <c r="I40" s="86" t="str">
        <f t="shared" si="8"/>
        <v xml:space="preserve"> </v>
      </c>
      <c r="J40" s="86" t="str">
        <f t="shared" si="8"/>
        <v xml:space="preserve"> </v>
      </c>
      <c r="K40" s="86" t="str">
        <f t="shared" si="8"/>
        <v xml:space="preserve"> </v>
      </c>
      <c r="L40" s="86" t="str">
        <f t="shared" si="8"/>
        <v xml:space="preserve"> </v>
      </c>
      <c r="M40" s="86" t="str">
        <f t="shared" si="8"/>
        <v xml:space="preserve"> </v>
      </c>
      <c r="N40" s="87" t="str">
        <f t="shared" si="8"/>
        <v xml:space="preserve"> </v>
      </c>
      <c r="O40" s="15">
        <f t="shared" si="8"/>
        <v>0.74664410343642762</v>
      </c>
      <c r="P40" s="3"/>
      <c r="Q40" s="3"/>
    </row>
    <row r="41" spans="1:18" x14ac:dyDescent="0.25">
      <c r="A41" s="3"/>
      <c r="B41" s="1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4"/>
      <c r="Q41" s="3"/>
    </row>
    <row r="42" spans="1:18" x14ac:dyDescent="0.25">
      <c r="A42" s="3"/>
      <c r="B42" t="s">
        <v>85</v>
      </c>
    </row>
    <row r="43" spans="1:18" x14ac:dyDescent="0.25">
      <c r="A43" s="3"/>
      <c r="C43" s="205">
        <f t="shared" ref="C43:N43" si="9">IF(C33&gt;0.5,C33*(C39-$O39)*(C39-$O39),0)</f>
        <v>20.876077275494186</v>
      </c>
      <c r="D43" s="205">
        <f t="shared" si="9"/>
        <v>0.9201502460394585</v>
      </c>
      <c r="E43" s="205">
        <f t="shared" si="9"/>
        <v>6.0055608905094546</v>
      </c>
      <c r="F43" s="205">
        <f t="shared" si="9"/>
        <v>9.2922836945793179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5">
        <f t="shared" si="9"/>
        <v>0</v>
      </c>
      <c r="N43" s="205">
        <f t="shared" si="9"/>
        <v>0</v>
      </c>
    </row>
    <row r="44" spans="1:18" x14ac:dyDescent="0.25">
      <c r="C44" t="s">
        <v>84</v>
      </c>
      <c r="K44">
        <f>SUM(C43:N43)</f>
        <v>37.09407210662242</v>
      </c>
    </row>
    <row r="47" spans="1:18" ht="13.8" thickBot="1" x14ac:dyDescent="0.3">
      <c r="B47" s="124" t="s">
        <v>128</v>
      </c>
      <c r="K47" s="11" t="s">
        <v>138</v>
      </c>
    </row>
    <row r="48" spans="1:18" x14ac:dyDescent="0.25">
      <c r="I48" s="207"/>
      <c r="J48" s="208" t="s">
        <v>136</v>
      </c>
      <c r="K48" s="214">
        <v>17476</v>
      </c>
      <c r="N48" s="208" t="s">
        <v>129</v>
      </c>
      <c r="O48" s="211">
        <f>IF(K50&gt;0,(K48-K49)*K50/((K49-1)*(1-K50)),"  ")</f>
        <v>2.9144144144144146</v>
      </c>
    </row>
    <row r="49" spans="2:15" x14ac:dyDescent="0.25">
      <c r="I49" s="207"/>
      <c r="J49" s="164" t="s">
        <v>135</v>
      </c>
      <c r="K49" s="210">
        <v>7</v>
      </c>
      <c r="N49" s="208" t="s">
        <v>130</v>
      </c>
      <c r="O49" s="209">
        <f>IF(K50&gt;0,FDIST(O48,K49-1,K48-K49),"  ")</f>
        <v>7.6727824745090765E-3</v>
      </c>
    </row>
    <row r="50" spans="2:15" ht="13.8" thickBot="1" x14ac:dyDescent="0.3">
      <c r="I50" s="207"/>
      <c r="J50" s="208" t="s">
        <v>137</v>
      </c>
      <c r="K50" s="212">
        <v>1E-3</v>
      </c>
      <c r="N50" s="164" t="s">
        <v>131</v>
      </c>
      <c r="O50" s="213">
        <f>IF(K50&gt;0,O49,"  ")</f>
        <v>7.6727824745090765E-3</v>
      </c>
    </row>
    <row r="53" spans="2:15" ht="13.8" thickBot="1" x14ac:dyDescent="0.3">
      <c r="B53" s="164"/>
      <c r="C53" s="165" t="str">
        <f>IF(Input!M7=9,"","IGNORE THESE  RESULTS")</f>
        <v>IGNORE THESE  RESULTS</v>
      </c>
      <c r="D53" s="165"/>
      <c r="E53" s="168"/>
      <c r="O53" s="140"/>
    </row>
    <row r="54" spans="2:15" x14ac:dyDescent="0.25">
      <c r="B54" s="164" t="s">
        <v>117</v>
      </c>
      <c r="C54" s="171" t="str">
        <f>IF(Input!D58&lt;0.5,"",C55*Input!D60*Input!D60)</f>
        <v/>
      </c>
      <c r="D54" s="172" t="str">
        <f>IF(Input!E58&lt;0.5,"",D55*Input!E60*Input!E60)</f>
        <v/>
      </c>
      <c r="E54" s="172" t="str">
        <f>IF(Input!F58&lt;0.5,"",E55*Input!F60*Input!F60)</f>
        <v/>
      </c>
      <c r="F54" s="172" t="str">
        <f>IF(Input!G58&lt;0.5,"",F55*Input!G60*Input!G60)</f>
        <v/>
      </c>
      <c r="G54" s="172" t="str">
        <f>IF(Input!H58&lt;0.5,"",G55*Input!H60*Input!H60)</f>
        <v/>
      </c>
      <c r="H54" s="172" t="str">
        <f>IF(Input!I58&lt;0.5,"",H55*Input!I60*Input!I60)</f>
        <v/>
      </c>
      <c r="I54" s="172" t="str">
        <f>IF(Input!J58&lt;0.5,"",I55*Input!J60*Input!J60)</f>
        <v/>
      </c>
      <c r="J54" s="172" t="str">
        <f>IF(Input!K58&lt;0.5,"",J55*Input!K60*Input!K60)</f>
        <v/>
      </c>
      <c r="K54" s="172" t="str">
        <f>IF(Input!L58&lt;0.5,"",K55*Input!L60*Input!L60)</f>
        <v/>
      </c>
      <c r="L54" s="172" t="str">
        <f>IF(Input!M58&lt;0.5,"",L55*Input!M60*Input!M60)</f>
        <v/>
      </c>
      <c r="M54" s="172" t="str">
        <f>IF(Input!N58&lt;0.5,"",M55*Input!N60*Input!N60)</f>
        <v/>
      </c>
      <c r="N54" s="272" t="str">
        <f>IF(Input!O58&lt;0.5,"",N55*Input!O60*Input!O60)</f>
        <v/>
      </c>
      <c r="O54" s="173">
        <f>SUM(C54:N54)</f>
        <v>0</v>
      </c>
    </row>
    <row r="55" spans="2:15" x14ac:dyDescent="0.25">
      <c r="B55" s="164" t="s">
        <v>118</v>
      </c>
      <c r="C55" s="174" t="str">
        <f>IF(Input!D58&gt;0.5,Input!D58-1,"")</f>
        <v/>
      </c>
      <c r="D55" s="175" t="str">
        <f>IF(Input!E58&gt;0.5,Input!E58-1,"")</f>
        <v/>
      </c>
      <c r="E55" s="175" t="str">
        <f>IF(Input!F58&gt;0.5,Input!F58-1,"")</f>
        <v/>
      </c>
      <c r="F55" s="175" t="str">
        <f>IF(Input!G58&gt;0.5,Input!G58-1,"")</f>
        <v/>
      </c>
      <c r="G55" s="175" t="str">
        <f>IF(Input!H58&gt;0.5,Input!H58-1,"")</f>
        <v/>
      </c>
      <c r="H55" s="175" t="str">
        <f>IF(Input!I58&gt;0.5,Input!I58-1,"")</f>
        <v/>
      </c>
      <c r="I55" s="175" t="str">
        <f>IF(Input!J58&gt;0.5,Input!J58-1,"")</f>
        <v/>
      </c>
      <c r="J55" s="175" t="str">
        <f>IF(Input!K58&gt;0.5,Input!K58-1,"")</f>
        <v/>
      </c>
      <c r="K55" s="175" t="str">
        <f>IF(Input!L58&gt;0.5,Input!L58-1,"")</f>
        <v/>
      </c>
      <c r="L55" s="175" t="str">
        <f>IF(Input!M58&gt;0.5,Input!M58-1,"")</f>
        <v/>
      </c>
      <c r="M55" s="175" t="str">
        <f>IF(Input!N58&gt;0.5,Input!N58-1,"")</f>
        <v/>
      </c>
      <c r="N55" s="273" t="str">
        <f>IF(Input!O58&gt;0.5,Input!O58-1,"")</f>
        <v/>
      </c>
      <c r="O55" s="176" t="str">
        <f>IF(Input!P58&lt;0.5,"",SUM(C55:N55))</f>
        <v/>
      </c>
    </row>
    <row r="56" spans="2:15" x14ac:dyDescent="0.25">
      <c r="B56" s="164" t="s">
        <v>115</v>
      </c>
      <c r="C56" s="174" t="str">
        <f>IF(Input!D58&gt;0.5,Input!D58*Input!D59,"")</f>
        <v/>
      </c>
      <c r="D56" s="175" t="str">
        <f>IF(Input!E58&gt;0.5,Input!E58*Input!E59,"")</f>
        <v/>
      </c>
      <c r="E56" s="175" t="str">
        <f>IF(Input!F58&gt;0.5,Input!F58*Input!F59,"")</f>
        <v/>
      </c>
      <c r="F56" s="175" t="str">
        <f>IF(Input!G58&gt;0.5,Input!G58*Input!G59,"")</f>
        <v/>
      </c>
      <c r="G56" s="175" t="str">
        <f>IF(Input!H58&gt;0.5,Input!H58*Input!H59,"")</f>
        <v/>
      </c>
      <c r="H56" s="175" t="str">
        <f>IF(Input!I58&gt;0.5,Input!I58*Input!I59,"")</f>
        <v/>
      </c>
      <c r="I56" s="175" t="str">
        <f>IF(Input!J58&gt;0.5,Input!J58*Input!J59,"")</f>
        <v/>
      </c>
      <c r="J56" s="175" t="str">
        <f>IF(Input!K58&gt;0.5,Input!K58*Input!K59,"")</f>
        <v/>
      </c>
      <c r="K56" s="175" t="str">
        <f>IF(Input!L58&gt;0.5,Input!L58*Input!L59,"")</f>
        <v/>
      </c>
      <c r="L56" s="175" t="str">
        <f>IF(Input!M58&gt;0.5,Input!M58*Input!M59,"")</f>
        <v/>
      </c>
      <c r="M56" s="175" t="str">
        <f>IF(Input!N58&gt;0.5,Input!N58*Input!N59,"")</f>
        <v/>
      </c>
      <c r="N56" s="273" t="str">
        <f>IF(Input!O58&gt;0.5,Input!O58*Input!O59,"")</f>
        <v/>
      </c>
      <c r="O56" s="176">
        <f>SUM(C56:N56)</f>
        <v>0</v>
      </c>
    </row>
    <row r="57" spans="2:15" ht="13.8" thickBot="1" x14ac:dyDescent="0.3">
      <c r="B57" s="164" t="s">
        <v>119</v>
      </c>
      <c r="C57" s="177" t="str">
        <f>IF(Input!D58&lt;0.5,"",Input!D58*(Input!D59-Input!$P59)*(Input!D59-Input!$P59))</f>
        <v/>
      </c>
      <c r="D57" s="178" t="str">
        <f>IF(Input!E58&lt;0.5,"",Input!E58*(Input!E59-Input!$P59)*(Input!E59-Input!$P59))</f>
        <v/>
      </c>
      <c r="E57" s="178" t="str">
        <f>IF(Input!F58&lt;0.5,"",Input!F58*(Input!F59-Input!$P59)*(Input!F59-Input!$P59))</f>
        <v/>
      </c>
      <c r="F57" s="178" t="str">
        <f>IF(Input!G58&lt;0.5,"",Input!G58*(Input!G59-Input!$P59)*(Input!G59-Input!$P59))</f>
        <v/>
      </c>
      <c r="G57" s="178" t="str">
        <f>IF(Input!H58&lt;0.5,"",Input!H58*(Input!H59-Input!$P59)*(Input!H59-Input!$P59))</f>
        <v/>
      </c>
      <c r="H57" s="178" t="str">
        <f>IF(Input!I58&lt;0.5,"",Input!I58*(Input!I59-Input!$P59)*(Input!I59-Input!$P59))</f>
        <v/>
      </c>
      <c r="I57" s="178" t="str">
        <f>IF(Input!J58&lt;0.5,"",Input!J58*(Input!J59-Input!$P59)*(Input!J59-Input!$P59))</f>
        <v/>
      </c>
      <c r="J57" s="178" t="str">
        <f>IF(Input!K58&lt;0.5,"",Input!K58*(Input!K59-Input!$P59)*(Input!K59-Input!$P59))</f>
        <v/>
      </c>
      <c r="K57" s="178" t="str">
        <f>IF(Input!L58&lt;0.5,"",Input!L58*(Input!L59-Input!$P59)*(Input!L59-Input!$P59))</f>
        <v/>
      </c>
      <c r="L57" s="178" t="str">
        <f>IF(Input!M58&lt;0.5,"",Input!M58*(Input!M59-Input!$P59)*(Input!M59-Input!$P59))</f>
        <v/>
      </c>
      <c r="M57" s="178" t="str">
        <f>IF(Input!N58&lt;0.5,"",Input!N58*(Input!N59-Input!$P59)*(Input!N59-Input!$P59))</f>
        <v/>
      </c>
      <c r="N57" s="274" t="str">
        <f>IF(Input!O58&lt;0.5,"",Input!O58*(Input!O59-Input!$P59)*(Input!O59-Input!$P59))</f>
        <v/>
      </c>
      <c r="O57" s="179" t="str">
        <f>IF(Input!P58&lt;0.5,"",SUM(C57:N57))</f>
        <v/>
      </c>
    </row>
    <row r="58" spans="2:15" x14ac:dyDescent="0.25">
      <c r="B58" s="164"/>
    </row>
  </sheetData>
  <sheetProtection password="C550" sheet="1" objects="1" scenarios="1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35"/>
  </sheetPr>
  <dimension ref="A1:W95"/>
  <sheetViews>
    <sheetView showGridLines="0" topLeftCell="A7" workbookViewId="0">
      <selection activeCell="L48" sqref="L48"/>
    </sheetView>
  </sheetViews>
  <sheetFormatPr defaultRowHeight="13.2" x14ac:dyDescent="0.25"/>
  <cols>
    <col min="1" max="1" width="9.109375" style="71" customWidth="1"/>
    <col min="2" max="3" width="10.6640625" bestFit="1" customWidth="1"/>
    <col min="4" max="5" width="10.6640625" customWidth="1"/>
    <col min="6" max="6" width="10.6640625" bestFit="1" customWidth="1"/>
    <col min="7" max="7" width="9.6640625" style="11" customWidth="1"/>
    <col min="8" max="8" width="9.109375" style="11" customWidth="1"/>
    <col min="9" max="9" width="10.6640625" style="77" bestFit="1" customWidth="1"/>
  </cols>
  <sheetData>
    <row r="1" spans="1:9" ht="13.8" thickBot="1" x14ac:dyDescent="0.3">
      <c r="A1" s="72" t="s">
        <v>43</v>
      </c>
      <c r="B1" s="66"/>
      <c r="C1" s="66"/>
      <c r="D1" s="66"/>
      <c r="E1" s="66"/>
      <c r="F1" s="67"/>
      <c r="G1" s="64"/>
    </row>
    <row r="3" spans="1:9" x14ac:dyDescent="0.25">
      <c r="B3" t="s">
        <v>20</v>
      </c>
      <c r="E3" s="158">
        <f>IF(Input!M7=9,Input!P58,Frequencies!O17)</f>
        <v>245</v>
      </c>
    </row>
    <row r="4" spans="1:9" x14ac:dyDescent="0.25">
      <c r="B4" t="s">
        <v>50</v>
      </c>
      <c r="E4" s="158">
        <f>Input!F10</f>
        <v>3</v>
      </c>
    </row>
    <row r="5" spans="1:9" x14ac:dyDescent="0.25">
      <c r="B5" t="s">
        <v>49</v>
      </c>
      <c r="E5" s="158">
        <f>Input!F14</f>
        <v>4</v>
      </c>
    </row>
    <row r="6" spans="1:9" x14ac:dyDescent="0.25">
      <c r="B6" t="s">
        <v>21</v>
      </c>
      <c r="E6" s="158">
        <f>MIN(E4,E5)</f>
        <v>3</v>
      </c>
    </row>
    <row r="7" spans="1:9" x14ac:dyDescent="0.25">
      <c r="B7" t="s">
        <v>114</v>
      </c>
      <c r="E7" s="158">
        <f>Input!M7</f>
        <v>1</v>
      </c>
    </row>
    <row r="9" spans="1:9" x14ac:dyDescent="0.25">
      <c r="A9" s="100" t="s">
        <v>62</v>
      </c>
      <c r="B9" s="8" t="s">
        <v>63</v>
      </c>
      <c r="C9" s="8"/>
      <c r="D9" s="8"/>
      <c r="E9" s="8"/>
      <c r="F9" s="8"/>
      <c r="G9" s="101"/>
      <c r="H9" s="101"/>
      <c r="I9" s="102"/>
    </row>
    <row r="10" spans="1:9" x14ac:dyDescent="0.25">
      <c r="A10" s="100"/>
      <c r="B10" s="8" t="s">
        <v>64</v>
      </c>
      <c r="C10" s="8"/>
      <c r="D10" s="8"/>
      <c r="E10" s="8"/>
      <c r="F10" s="8"/>
      <c r="G10" s="101"/>
      <c r="H10" s="101"/>
      <c r="I10" s="102"/>
    </row>
    <row r="11" spans="1:9" x14ac:dyDescent="0.25">
      <c r="A11" s="100"/>
      <c r="B11" s="8" t="s">
        <v>66</v>
      </c>
      <c r="C11" s="8"/>
      <c r="D11" s="8"/>
      <c r="E11" s="8"/>
      <c r="F11" s="8"/>
      <c r="G11" s="101"/>
      <c r="H11" s="101"/>
      <c r="I11" s="102"/>
    </row>
    <row r="12" spans="1:9" x14ac:dyDescent="0.25">
      <c r="A12" s="100"/>
      <c r="B12" s="8" t="s">
        <v>141</v>
      </c>
      <c r="C12" s="8"/>
      <c r="D12" s="8"/>
      <c r="E12" s="8"/>
      <c r="F12" s="8"/>
      <c r="G12" s="101"/>
      <c r="H12" s="101"/>
      <c r="I12" s="102"/>
    </row>
    <row r="13" spans="1:9" x14ac:dyDescent="0.25">
      <c r="A13" s="100"/>
      <c r="B13" s="8" t="s">
        <v>65</v>
      </c>
      <c r="C13" s="8"/>
      <c r="D13" s="8"/>
      <c r="E13" s="8"/>
      <c r="F13" s="8"/>
      <c r="G13" s="101"/>
      <c r="H13" s="101"/>
      <c r="I13" s="102"/>
    </row>
    <row r="14" spans="1:9" x14ac:dyDescent="0.25">
      <c r="G14" s="164"/>
    </row>
    <row r="15" spans="1:9" x14ac:dyDescent="0.25">
      <c r="A15" s="71" t="s">
        <v>39</v>
      </c>
      <c r="G15"/>
      <c r="H15"/>
    </row>
    <row r="16" spans="1:9" x14ac:dyDescent="0.25">
      <c r="C16" t="s">
        <v>200</v>
      </c>
      <c r="E16" s="8"/>
      <c r="G16" s="164" t="s">
        <v>205</v>
      </c>
      <c r="H16" s="71">
        <f>Input!F11</f>
        <v>0</v>
      </c>
    </row>
    <row r="17" spans="1:8" x14ac:dyDescent="0.25">
      <c r="C17" t="s">
        <v>37</v>
      </c>
      <c r="E17" s="159">
        <f>Input!F8</f>
        <v>3</v>
      </c>
      <c r="G17" s="164" t="s">
        <v>203</v>
      </c>
      <c r="H17">
        <f>IF(H16=1,E18,E17)</f>
        <v>3</v>
      </c>
    </row>
    <row r="18" spans="1:8" x14ac:dyDescent="0.25">
      <c r="C18" t="s">
        <v>38</v>
      </c>
      <c r="E18" s="159">
        <f>Input!F9</f>
        <v>1</v>
      </c>
      <c r="G18" s="164" t="s">
        <v>204</v>
      </c>
      <c r="H18">
        <f>IF(H16=1,E17,E18)</f>
        <v>1</v>
      </c>
    </row>
    <row r="19" spans="1:8" x14ac:dyDescent="0.25">
      <c r="A19" s="71" t="s">
        <v>112</v>
      </c>
      <c r="E19" s="59"/>
      <c r="F19" s="336" t="s">
        <v>127</v>
      </c>
      <c r="G19" s="337"/>
      <c r="H19" s="338"/>
    </row>
    <row r="20" spans="1:8" x14ac:dyDescent="0.25">
      <c r="C20" t="s">
        <v>40</v>
      </c>
      <c r="E20" s="160">
        <f>IF(H16=1,10/(E18-E17),10/(E17-E18))</f>
        <v>5</v>
      </c>
      <c r="G20"/>
      <c r="H20"/>
    </row>
    <row r="21" spans="1:8" x14ac:dyDescent="0.25">
      <c r="C21" t="s">
        <v>41</v>
      </c>
      <c r="E21" s="160">
        <f>-E20*H18</f>
        <v>-5</v>
      </c>
      <c r="G21"/>
      <c r="H21"/>
    </row>
    <row r="22" spans="1:8" x14ac:dyDescent="0.25">
      <c r="B22" s="587" t="str">
        <f>IF(Input!F1&lt;7,"HOWEVER:   Linear scale transformation is not recommended","")</f>
        <v>HOWEVER:   Linear scale transformation is not recommended</v>
      </c>
      <c r="C22" s="599"/>
      <c r="D22" s="599"/>
      <c r="E22" s="599"/>
      <c r="F22" s="599"/>
      <c r="G22" s="599"/>
      <c r="H22" s="599"/>
    </row>
    <row r="23" spans="1:8" x14ac:dyDescent="0.25">
      <c r="B23" s="587" t="str">
        <f>IF(Input!F1&lt;7,"                     in case of scales with &lt; 7 possible ratings !","")</f>
        <v xml:space="preserve">                     in case of scales with &lt; 7 possible ratings !</v>
      </c>
      <c r="C23" s="600"/>
      <c r="D23" s="600"/>
      <c r="E23" s="600"/>
      <c r="F23" s="600"/>
      <c r="G23" s="600"/>
      <c r="H23" s="600"/>
    </row>
    <row r="24" spans="1:8" x14ac:dyDescent="0.25">
      <c r="G24"/>
      <c r="H24"/>
    </row>
    <row r="25" spans="1:8" x14ac:dyDescent="0.25">
      <c r="A25" s="73" t="s">
        <v>22</v>
      </c>
    </row>
    <row r="26" spans="1:8" x14ac:dyDescent="0.25">
      <c r="A26" s="73"/>
    </row>
    <row r="27" spans="1:8" ht="13.8" thickBot="1" x14ac:dyDescent="0.3">
      <c r="B27" t="s">
        <v>42</v>
      </c>
    </row>
    <row r="28" spans="1:8" ht="13.8" thickBot="1" x14ac:dyDescent="0.3">
      <c r="A28" s="224"/>
      <c r="B28" s="261" t="s">
        <v>179</v>
      </c>
      <c r="C28" s="163"/>
      <c r="D28" s="36" t="s">
        <v>24</v>
      </c>
      <c r="E28" s="21" t="s">
        <v>26</v>
      </c>
      <c r="F28" s="22" t="s">
        <v>33</v>
      </c>
      <c r="G28" s="17" t="s">
        <v>30</v>
      </c>
      <c r="H28" s="18"/>
    </row>
    <row r="29" spans="1:8" ht="13.8" thickBot="1" x14ac:dyDescent="0.3">
      <c r="B29" s="260" t="s">
        <v>153</v>
      </c>
      <c r="C29" s="42" t="s">
        <v>106</v>
      </c>
      <c r="D29" s="37" t="s">
        <v>25</v>
      </c>
      <c r="E29" s="23" t="s">
        <v>27</v>
      </c>
      <c r="F29" s="24" t="s">
        <v>34</v>
      </c>
      <c r="G29" s="19" t="s">
        <v>28</v>
      </c>
      <c r="H29" s="20" t="s">
        <v>29</v>
      </c>
    </row>
    <row r="30" spans="1:8" x14ac:dyDescent="0.25">
      <c r="B30" s="276" t="s">
        <v>152</v>
      </c>
      <c r="C30" s="276">
        <v>12</v>
      </c>
      <c r="D30" s="39" t="str">
        <f>IF(OR(C30&gt;E$5,F30&lt;0.5),"",IF($E$7=9,Input!O58,Frequencies!N39))</f>
        <v/>
      </c>
      <c r="E30" s="10" t="str">
        <f>IF(OR(C30&gt;E$5,F30&lt;1.5)," ",IF($E$7=9,(Input!O60)/(SQRT(F30)),(Frequencies!N40)/(SQRT(F30))))</f>
        <v xml:space="preserve"> </v>
      </c>
      <c r="F30" s="30" t="str">
        <f>IF(C30&gt;E$5," ",IF($E$7=9,Input!O58,IF(Frequencies!N33&gt;0.5,Frequencies!N33,0)))</f>
        <v xml:space="preserve"> </v>
      </c>
      <c r="G30" s="29" t="str">
        <f t="shared" ref="G30:G40" si="0">IF(OR(C30&gt;E$5,F30&lt;1.5)," ",D30-E30*(TINV(0.05,(F30-1))))</f>
        <v xml:space="preserve"> </v>
      </c>
      <c r="H30" s="31" t="str">
        <f t="shared" ref="H30:H40" si="1">IF(OR(C30&gt;E$5,F30&lt;1.5)," ",D30+E30*(TINV(0.05,(F30-1))))</f>
        <v xml:space="preserve"> </v>
      </c>
    </row>
    <row r="31" spans="1:8" x14ac:dyDescent="0.25">
      <c r="B31" s="277" t="s">
        <v>151</v>
      </c>
      <c r="C31" s="277">
        <v>11</v>
      </c>
      <c r="D31" s="39" t="str">
        <f>IF(OR(C31&gt;E$5,F31&lt;0.5),"",IF($E$7=9,Input!N59,Frequencies!M39))</f>
        <v/>
      </c>
      <c r="E31" s="10" t="str">
        <f>IF(OR(C31&gt;E$5,F31&lt;1.5)," ",IF($E$7=9,(Input!N60)/(SQRT(F31)),(Frequencies!M40)/(SQRT(F31))))</f>
        <v xml:space="preserve"> </v>
      </c>
      <c r="F31" s="30" t="str">
        <f>IF(C31&gt;E$5," ",IF($E$7=9,Input!N58,IF(Frequencies!M33&gt;0.5,Frequencies!M33,0)))</f>
        <v xml:space="preserve"> </v>
      </c>
      <c r="G31" s="29" t="str">
        <f t="shared" si="0"/>
        <v xml:space="preserve"> </v>
      </c>
      <c r="H31" s="31" t="str">
        <f t="shared" si="1"/>
        <v xml:space="preserve"> </v>
      </c>
    </row>
    <row r="32" spans="1:8" x14ac:dyDescent="0.25">
      <c r="B32" s="277" t="s">
        <v>150</v>
      </c>
      <c r="C32" s="277">
        <v>10</v>
      </c>
      <c r="D32" s="39" t="str">
        <f>IF(OR(C32&gt;E$5,F32&lt;0.5),"",IF($E$7=9,Input!M59,Frequencies!L39))</f>
        <v/>
      </c>
      <c r="E32" s="10" t="str">
        <f>IF(OR(C32&gt;E$5,F32&lt;1.5)," ",IF($E$7=9,(Input!M60)/(SQRT(F32)),(Frequencies!L40)/(SQRT(F32))))</f>
        <v xml:space="preserve"> </v>
      </c>
      <c r="F32" s="30" t="str">
        <f>IF(C32&gt;E$5," ",IF($E$7=9,Input!M58,IF(Frequencies!L33&gt;0.5,Frequencies!L33,0)))</f>
        <v xml:space="preserve"> </v>
      </c>
      <c r="G32" s="29" t="str">
        <f t="shared" si="0"/>
        <v xml:space="preserve"> </v>
      </c>
      <c r="H32" s="31" t="str">
        <f t="shared" si="1"/>
        <v xml:space="preserve"> </v>
      </c>
    </row>
    <row r="33" spans="2:8" x14ac:dyDescent="0.25">
      <c r="B33" s="277" t="s">
        <v>149</v>
      </c>
      <c r="C33" s="277">
        <v>9</v>
      </c>
      <c r="D33" s="39" t="str">
        <f>IF(OR(C33&gt;E$5,F33&lt;0.5),"",IF($E$7=9,Input!L59,Frequencies!K39))</f>
        <v/>
      </c>
      <c r="E33" s="10" t="str">
        <f>IF(OR(C33&gt;E$5,F33&lt;1.5)," ",IF($E$7=9,(Input!L60)/(SQRT(F33)),(Frequencies!K40)/(SQRT(F33))))</f>
        <v xml:space="preserve"> </v>
      </c>
      <c r="F33" s="30" t="str">
        <f>IF(C33&gt;E$5," ",IF($E$7=9,Input!L58,IF(Frequencies!K33&gt;0.5,Frequencies!K33,0)))</f>
        <v xml:space="preserve"> </v>
      </c>
      <c r="G33" s="29" t="str">
        <f t="shared" si="0"/>
        <v xml:space="preserve"> </v>
      </c>
      <c r="H33" s="31" t="str">
        <f t="shared" si="1"/>
        <v xml:space="preserve"> </v>
      </c>
    </row>
    <row r="34" spans="2:8" x14ac:dyDescent="0.25">
      <c r="B34" s="277" t="s">
        <v>148</v>
      </c>
      <c r="C34" s="277">
        <v>8</v>
      </c>
      <c r="D34" s="39" t="str">
        <f>IF(OR(C34&gt;E$5,F34&lt;0.5),"",IF($E$7=9,Input!K59,Frequencies!J39))</f>
        <v/>
      </c>
      <c r="E34" s="10" t="str">
        <f>IF(OR(C34&gt;E$5,F34&lt;1.5)," ",IF($E$7=9,(Input!K60)/(SQRT(F34)),(Frequencies!J40)/(SQRT(F34))))</f>
        <v xml:space="preserve"> </v>
      </c>
      <c r="F34" s="30" t="str">
        <f>IF(C34&gt;E$5," ",IF($E$7=9,Input!K58,IF(Frequencies!J33&gt;0.5,Frequencies!J33,0)))</f>
        <v xml:space="preserve"> </v>
      </c>
      <c r="G34" s="29" t="str">
        <f t="shared" si="0"/>
        <v xml:space="preserve"> </v>
      </c>
      <c r="H34" s="31" t="str">
        <f t="shared" si="1"/>
        <v xml:space="preserve"> </v>
      </c>
    </row>
    <row r="35" spans="2:8" x14ac:dyDescent="0.25">
      <c r="B35" s="277" t="s">
        <v>147</v>
      </c>
      <c r="C35" s="277">
        <v>7</v>
      </c>
      <c r="D35" s="39" t="str">
        <f>IF(OR(C35&gt;E$5,F35&lt;0.5),"",IF($E$7=9,Input!J59,Frequencies!I39))</f>
        <v/>
      </c>
      <c r="E35" s="10" t="str">
        <f>IF(OR(C35&gt;E$5,F35&lt;1.5)," ",IF($E$7=9,(Input!J60)/(SQRT(F35)),(Frequencies!I40)/(SQRT(F35))))</f>
        <v xml:space="preserve"> </v>
      </c>
      <c r="F35" s="30" t="str">
        <f>IF(C35&gt;E$5," ",IF($E$7=9,Input!J58,IF(Frequencies!I33&gt;0.5,Frequencies!I33,0)))</f>
        <v xml:space="preserve"> </v>
      </c>
      <c r="G35" s="29" t="str">
        <f t="shared" si="0"/>
        <v xml:space="preserve"> </v>
      </c>
      <c r="H35" s="31" t="str">
        <f t="shared" si="1"/>
        <v xml:space="preserve"> </v>
      </c>
    </row>
    <row r="36" spans="2:8" x14ac:dyDescent="0.25">
      <c r="B36" s="277" t="s">
        <v>75</v>
      </c>
      <c r="C36" s="277">
        <v>6</v>
      </c>
      <c r="D36" s="39" t="str">
        <f>IF(OR(C36&gt;E$5,F36&lt;0.5),"",IF($E$7=9,Input!I59,Frequencies!H39))</f>
        <v/>
      </c>
      <c r="E36" s="10" t="str">
        <f>IF(OR(C36&gt;E$5,F36&lt;1.5)," ",IF($E$7=9,(Input!I60)/(SQRT(F36)),(Frequencies!H40)/(SQRT(F36))))</f>
        <v xml:space="preserve"> </v>
      </c>
      <c r="F36" s="30" t="str">
        <f>IF(C36&gt;E$5," ",IF($E$7=9,Input!I58,IF(Frequencies!H33&gt;0.5,Frequencies!H33,0)))</f>
        <v xml:space="preserve"> </v>
      </c>
      <c r="G36" s="29" t="str">
        <f t="shared" si="0"/>
        <v xml:space="preserve"> </v>
      </c>
      <c r="H36" s="31" t="str">
        <f t="shared" si="1"/>
        <v xml:space="preserve"> </v>
      </c>
    </row>
    <row r="37" spans="2:8" x14ac:dyDescent="0.25">
      <c r="B37" s="277" t="s">
        <v>146</v>
      </c>
      <c r="C37" s="277">
        <v>5</v>
      </c>
      <c r="D37" s="39" t="str">
        <f>IF(OR(C37&gt;E$5,F37&lt;0.5),"",IF($E$7=9,Input!H59,Frequencies!G39))</f>
        <v/>
      </c>
      <c r="E37" s="10" t="str">
        <f>IF(OR(C37&gt;E$5,F37&lt;1.5)," ",IF($E$7=9,(Input!H60)/(SQRT(F37)),(Frequencies!G40)/(SQRT(F37))))</f>
        <v xml:space="preserve"> </v>
      </c>
      <c r="F37" s="30" t="str">
        <f>IF(C37&gt;E$5," ",IF($E$7=9,Input!H58,IF(Frequencies!G33&gt;0.5,Frequencies!G33,0)))</f>
        <v xml:space="preserve"> </v>
      </c>
      <c r="G37" s="29" t="str">
        <f t="shared" si="0"/>
        <v xml:space="preserve"> </v>
      </c>
      <c r="H37" s="31" t="str">
        <f t="shared" si="1"/>
        <v xml:space="preserve"> </v>
      </c>
    </row>
    <row r="38" spans="2:8" x14ac:dyDescent="0.25">
      <c r="B38" s="277" t="s">
        <v>145</v>
      </c>
      <c r="C38" s="277">
        <v>4</v>
      </c>
      <c r="D38" s="39">
        <f>IF(OR(C38&gt;E$5,F38&lt;0.5),"",IF($E$7=9,Input!G59,Frequencies!F39))</f>
        <v>2.2465753424657535</v>
      </c>
      <c r="E38" s="10">
        <f>IF(OR(C38&gt;E$5,F38&lt;1.5)," ",IF($E$7=9,(Input!G60)/(SQRT(F38)),(Frequencies!F40)/(SQRT(F38))))</f>
        <v>7.2414390534948442E-2</v>
      </c>
      <c r="F38" s="30">
        <f>IF(C38&gt;E$5," ",IF($E$7=9,Input!G58,IF(Frequencies!F33&gt;0.5,Frequencies!F33,0)))</f>
        <v>73</v>
      </c>
      <c r="G38" s="29">
        <f t="shared" si="0"/>
        <v>2.1022198932323093</v>
      </c>
      <c r="H38" s="31">
        <f t="shared" si="1"/>
        <v>2.3909307916991978</v>
      </c>
    </row>
    <row r="39" spans="2:8" x14ac:dyDescent="0.25">
      <c r="B39" s="277" t="s">
        <v>144</v>
      </c>
      <c r="C39" s="277">
        <v>3</v>
      </c>
      <c r="D39" s="39">
        <f>IF(OR(C39&gt;E$5,F39&lt;0.5),"",IF($E$7=9,Input!F59,Frequencies!E39))</f>
        <v>2.2264150943396226</v>
      </c>
      <c r="E39" s="10">
        <f>IF(OR(C39&gt;E$5,F39&lt;1.5)," ",IF($E$7=9,(Input!F60)/(SQRT(F39)),(Frequencies!E40)/(SQRT(F39))))</f>
        <v>9.1913655425478719E-2</v>
      </c>
      <c r="F39" s="30">
        <f>IF(C39&gt;E$5," ",IF($E$7=9,Input!F58,IF(Frequencies!E33&gt;0.5,Frequencies!E33,0)))</f>
        <v>53</v>
      </c>
      <c r="G39" s="29">
        <f t="shared" si="0"/>
        <v>2.041976851338545</v>
      </c>
      <c r="H39" s="31">
        <f t="shared" si="1"/>
        <v>2.4108533373407002</v>
      </c>
    </row>
    <row r="40" spans="2:8" x14ac:dyDescent="0.25">
      <c r="B40" s="277" t="s">
        <v>143</v>
      </c>
      <c r="C40" s="277">
        <v>2</v>
      </c>
      <c r="D40" s="39">
        <f>IF(OR(C40&gt;E$5,F40&lt;0.5),"",IF($E$7=9,Input!E59,Frequencies!D39))</f>
        <v>1.7592592592592593</v>
      </c>
      <c r="E40" s="10">
        <f>IF(OR(C40&gt;E$5,F40&lt;1.5)," ",IF($E$7=9,(Input!E60)/(SQRT(F40)),(Frequencies!D40)/(SQRT(F40))))</f>
        <v>0.10552582120708277</v>
      </c>
      <c r="F40" s="30">
        <f>IF(C40&gt;E$5," ",IF($E$7=9,Input!E58,IF(Frequencies!D33&gt;0.5,Frequencies!D33,0)))</f>
        <v>54</v>
      </c>
      <c r="G40" s="29">
        <f t="shared" si="0"/>
        <v>1.5476012659705236</v>
      </c>
      <c r="H40" s="31">
        <f t="shared" si="1"/>
        <v>1.970917252547995</v>
      </c>
    </row>
    <row r="41" spans="2:8" ht="13.8" thickBot="1" x14ac:dyDescent="0.3">
      <c r="B41" s="278" t="s">
        <v>142</v>
      </c>
      <c r="C41" s="278">
        <v>1</v>
      </c>
      <c r="D41" s="38">
        <f>IF(F41&gt;0.5,IF($E$7=9,Input!D59,Frequencies!C39),"")</f>
        <v>1.323076923076923</v>
      </c>
      <c r="E41" s="26">
        <f>IF(F41&gt;1.5,IF($E$7=9,(Input!D60)/(SQRT(F41)),(Frequencies!C40)/(SQRT(F41))),"")</f>
        <v>6.2433396464415106E-2</v>
      </c>
      <c r="F41" s="27">
        <f>IF($E$7=9,Input!D58,IF(Frequencies!C33&gt;0.5,Frequencies!C33,0))</f>
        <v>65</v>
      </c>
      <c r="G41" s="169">
        <f>IF(F41&gt;0.5,D41-E41*(TINV(0.05,(F41-1))),"")</f>
        <v>1.1983518755401874</v>
      </c>
      <c r="H41" s="170">
        <f>IF(F41&gt;1.5,D41+E41*(TINV(0.05,(F41-1))),"")</f>
        <v>1.4478019706136587</v>
      </c>
    </row>
    <row r="42" spans="2:8" ht="13.8" thickBot="1" x14ac:dyDescent="0.3">
      <c r="B42" s="279"/>
      <c r="C42" s="280" t="s">
        <v>35</v>
      </c>
      <c r="D42" s="40">
        <f>IF($E$7=9,Input!P59,Frequencies!O39)</f>
        <v>1.8897959183673469</v>
      </c>
      <c r="E42" s="33">
        <f>IF(E7=9,SQRT((MulComp!E10)/(F42*(F42-1))),(Frequencies!O40)/(SQRT(F42)))</f>
        <v>4.7701342008092472E-2</v>
      </c>
      <c r="F42" s="34">
        <f>IF($E$7=9,Input!P58,Frequencies!O33)</f>
        <v>245</v>
      </c>
      <c r="G42" s="32">
        <f>IF(F42&lt;1.5," ",D42-E42*(TINV(0.05,(F42-1))))</f>
        <v>1.7958369635369966</v>
      </c>
      <c r="H42" s="35">
        <f>IF(F42&lt;1.5," ",D42+E42*(TINV(0.05,(F42-1))))</f>
        <v>1.9837548731976973</v>
      </c>
    </row>
    <row r="45" spans="2:8" ht="13.8" thickBot="1" x14ac:dyDescent="0.3">
      <c r="B45" s="58" t="s">
        <v>48</v>
      </c>
      <c r="C45" s="54"/>
      <c r="D45" s="55"/>
      <c r="E45" s="56"/>
      <c r="F45" s="54"/>
      <c r="G45" s="54"/>
    </row>
    <row r="46" spans="2:8" x14ac:dyDescent="0.25">
      <c r="B46" s="45" t="s">
        <v>23</v>
      </c>
      <c r="C46" s="46" t="s">
        <v>24</v>
      </c>
      <c r="D46" s="47" t="s">
        <v>26</v>
      </c>
      <c r="E46" s="48" t="s">
        <v>33</v>
      </c>
      <c r="F46" s="49" t="s">
        <v>30</v>
      </c>
      <c r="G46" s="50"/>
    </row>
    <row r="47" spans="2:8" ht="13.8" thickBot="1" x14ac:dyDescent="0.3">
      <c r="B47" s="42" t="s">
        <v>106</v>
      </c>
      <c r="C47" s="37" t="s">
        <v>25</v>
      </c>
      <c r="D47" s="23" t="s">
        <v>27</v>
      </c>
      <c r="E47" s="24" t="s">
        <v>34</v>
      </c>
      <c r="F47" s="19" t="s">
        <v>28</v>
      </c>
      <c r="G47" s="20" t="s">
        <v>29</v>
      </c>
      <c r="H47" s="11" t="s">
        <v>56</v>
      </c>
    </row>
    <row r="48" spans="2:8" x14ac:dyDescent="0.25">
      <c r="B48" s="276">
        <v>12</v>
      </c>
      <c r="C48" s="39" t="str">
        <f>IF(OR(B48&gt;E$5,E48&lt;0.5),"",E$20*D30+E$21-0.0005)</f>
        <v/>
      </c>
      <c r="D48" s="10" t="str">
        <f>IF(OR(B48&gt;E$5,E48&lt;1.5)," ",ABS(E$20*E30))</f>
        <v xml:space="preserve"> </v>
      </c>
      <c r="E48" s="30" t="str">
        <f t="shared" ref="E48:E59" si="2">IF(B48&gt;E$5," ",IF(F30&gt;0.5,F30,0))</f>
        <v xml:space="preserve"> </v>
      </c>
      <c r="F48" s="29" t="str">
        <f t="shared" ref="F48:F59" si="3">IF(OR(B48&gt;E$5,E48&lt;1.5)," ",C48-D48*(TINV(0.05,(E48-1))))</f>
        <v xml:space="preserve"> </v>
      </c>
      <c r="G48" s="31" t="str">
        <f t="shared" ref="G48:G59" si="4">IF(OR(B48&gt;E$5,E48&lt;1.5)," ",C48+D48*(TINV(0.05,(E48-1))))</f>
        <v xml:space="preserve"> </v>
      </c>
      <c r="H48" s="276" t="str">
        <f t="shared" ref="H48:H59" si="5">IF(B48&gt;E$5,"",RANK(C48,C$48:C$59))</f>
        <v/>
      </c>
    </row>
    <row r="49" spans="1:23" x14ac:dyDescent="0.25">
      <c r="B49" s="277">
        <v>11</v>
      </c>
      <c r="C49" s="39" t="str">
        <f>IF(OR(B49&gt;E$5,E49&lt;0.5),"",E$20*D31+E$21-0.0004)</f>
        <v/>
      </c>
      <c r="D49" s="10" t="str">
        <f t="shared" ref="D49:D59" si="6">IF(OR(B49&gt;E$5,E49&lt;1.5)," ",ABS(E$20*E31))</f>
        <v xml:space="preserve"> </v>
      </c>
      <c r="E49" s="30" t="str">
        <f t="shared" si="2"/>
        <v xml:space="preserve"> </v>
      </c>
      <c r="F49" s="29" t="str">
        <f t="shared" si="3"/>
        <v xml:space="preserve"> </v>
      </c>
      <c r="G49" s="31" t="str">
        <f t="shared" si="4"/>
        <v xml:space="preserve"> </v>
      </c>
      <c r="H49" s="278" t="str">
        <f t="shared" si="5"/>
        <v/>
      </c>
    </row>
    <row r="50" spans="1:23" x14ac:dyDescent="0.25">
      <c r="B50" s="277">
        <v>10</v>
      </c>
      <c r="C50" s="39" t="str">
        <f>IF(OR(B50&gt;E$5,E50&lt;0.5),"",E$20*D32+E$21-0.0003)</f>
        <v/>
      </c>
      <c r="D50" s="10" t="str">
        <f t="shared" si="6"/>
        <v xml:space="preserve"> </v>
      </c>
      <c r="E50" s="30" t="str">
        <f t="shared" si="2"/>
        <v xml:space="preserve"> </v>
      </c>
      <c r="F50" s="29" t="str">
        <f t="shared" si="3"/>
        <v xml:space="preserve"> </v>
      </c>
      <c r="G50" s="31" t="str">
        <f t="shared" si="4"/>
        <v xml:space="preserve"> </v>
      </c>
      <c r="H50" s="277" t="str">
        <f t="shared" si="5"/>
        <v/>
      </c>
    </row>
    <row r="51" spans="1:23" x14ac:dyDescent="0.25">
      <c r="B51" s="277">
        <v>9</v>
      </c>
      <c r="C51" s="39" t="str">
        <f>IF(OR(B51&gt;E$5,E51&lt;0.5),"",E$20*D33+E$21-0.0002)</f>
        <v/>
      </c>
      <c r="D51" s="10" t="str">
        <f t="shared" si="6"/>
        <v xml:space="preserve"> </v>
      </c>
      <c r="E51" s="30" t="str">
        <f t="shared" si="2"/>
        <v xml:space="preserve"> </v>
      </c>
      <c r="F51" s="29" t="str">
        <f t="shared" si="3"/>
        <v xml:space="preserve"> </v>
      </c>
      <c r="G51" s="31" t="str">
        <f t="shared" si="4"/>
        <v xml:space="preserve"> </v>
      </c>
      <c r="H51" s="277" t="str">
        <f t="shared" si="5"/>
        <v/>
      </c>
    </row>
    <row r="52" spans="1:23" x14ac:dyDescent="0.25">
      <c r="B52" s="277">
        <v>8</v>
      </c>
      <c r="C52" s="39" t="str">
        <f>IF(OR(B52&gt;E$5,E52&lt;0.5),"",E$20*D34+E$21-0.0001)</f>
        <v/>
      </c>
      <c r="D52" s="10" t="str">
        <f t="shared" si="6"/>
        <v xml:space="preserve"> </v>
      </c>
      <c r="E52" s="30" t="str">
        <f t="shared" si="2"/>
        <v xml:space="preserve"> </v>
      </c>
      <c r="F52" s="29" t="str">
        <f t="shared" si="3"/>
        <v xml:space="preserve"> </v>
      </c>
      <c r="G52" s="31" t="str">
        <f t="shared" si="4"/>
        <v xml:space="preserve"> </v>
      </c>
      <c r="H52" s="277" t="str">
        <f t="shared" si="5"/>
        <v/>
      </c>
    </row>
    <row r="53" spans="1:23" x14ac:dyDescent="0.25">
      <c r="B53" s="277">
        <v>7</v>
      </c>
      <c r="C53" s="39" t="str">
        <f>IF(OR(B53&gt;E$5,E53&lt;0.5),"",E$20*D35+E$21)</f>
        <v/>
      </c>
      <c r="D53" s="10" t="str">
        <f t="shared" si="6"/>
        <v xml:space="preserve"> </v>
      </c>
      <c r="E53" s="30" t="str">
        <f t="shared" si="2"/>
        <v xml:space="preserve"> </v>
      </c>
      <c r="F53" s="29" t="str">
        <f t="shared" si="3"/>
        <v xml:space="preserve"> </v>
      </c>
      <c r="G53" s="31" t="str">
        <f t="shared" si="4"/>
        <v xml:space="preserve"> </v>
      </c>
      <c r="H53" s="277" t="str">
        <f t="shared" si="5"/>
        <v/>
      </c>
    </row>
    <row r="54" spans="1:23" x14ac:dyDescent="0.25">
      <c r="B54" s="277">
        <v>6</v>
      </c>
      <c r="C54" s="39" t="str">
        <f>IF(OR(B54&gt;E$5,E54&lt;0.5),"",E$20*D36+E$21+0.0001)</f>
        <v/>
      </c>
      <c r="D54" s="10" t="str">
        <f t="shared" si="6"/>
        <v xml:space="preserve"> </v>
      </c>
      <c r="E54" s="30" t="str">
        <f t="shared" si="2"/>
        <v xml:space="preserve"> </v>
      </c>
      <c r="F54" s="29" t="str">
        <f t="shared" si="3"/>
        <v xml:space="preserve"> </v>
      </c>
      <c r="G54" s="31" t="str">
        <f t="shared" si="4"/>
        <v xml:space="preserve"> </v>
      </c>
      <c r="H54" s="277" t="str">
        <f t="shared" si="5"/>
        <v/>
      </c>
    </row>
    <row r="55" spans="1:23" x14ac:dyDescent="0.25">
      <c r="B55" s="277">
        <v>5</v>
      </c>
      <c r="C55" s="39" t="str">
        <f>IF(OR(B55&gt;E$5,E55&lt;0.5),"",E$20*D37+E$21+0.0002)</f>
        <v/>
      </c>
      <c r="D55" s="10" t="str">
        <f t="shared" si="6"/>
        <v xml:space="preserve"> </v>
      </c>
      <c r="E55" s="30" t="str">
        <f t="shared" si="2"/>
        <v xml:space="preserve"> </v>
      </c>
      <c r="F55" s="29" t="str">
        <f t="shared" si="3"/>
        <v xml:space="preserve"> </v>
      </c>
      <c r="G55" s="31" t="str">
        <f t="shared" si="4"/>
        <v xml:space="preserve"> </v>
      </c>
      <c r="H55" s="277" t="str">
        <f t="shared" si="5"/>
        <v/>
      </c>
    </row>
    <row r="56" spans="1:23" x14ac:dyDescent="0.25">
      <c r="B56" s="277">
        <v>4</v>
      </c>
      <c r="C56" s="39">
        <f>IF(OR(B56&gt;E$5,E56&lt;0.5),"",E$20*D38+E$21+0.0003)</f>
        <v>6.2331767123287678</v>
      </c>
      <c r="D56" s="10">
        <f t="shared" si="6"/>
        <v>0.36207195267474224</v>
      </c>
      <c r="E56" s="30">
        <f t="shared" si="2"/>
        <v>73</v>
      </c>
      <c r="F56" s="29">
        <f t="shared" si="3"/>
        <v>5.5113994661615475</v>
      </c>
      <c r="G56" s="31">
        <f t="shared" si="4"/>
        <v>6.9549539584959881</v>
      </c>
      <c r="H56" s="277">
        <f t="shared" si="5"/>
        <v>1</v>
      </c>
    </row>
    <row r="57" spans="1:23" x14ac:dyDescent="0.25">
      <c r="B57" s="277">
        <v>3</v>
      </c>
      <c r="C57" s="39">
        <f>IF(OR(B57&gt;E$5,E57&lt;0.5),"",E$20*D39+E$21+0.0004)</f>
        <v>6.132475471698112</v>
      </c>
      <c r="D57" s="10">
        <f t="shared" si="6"/>
        <v>0.45956827712739357</v>
      </c>
      <c r="E57" s="30">
        <f t="shared" si="2"/>
        <v>53</v>
      </c>
      <c r="F57" s="29">
        <f t="shared" si="3"/>
        <v>5.2102842566927237</v>
      </c>
      <c r="G57" s="31">
        <f t="shared" si="4"/>
        <v>7.0546666867035004</v>
      </c>
      <c r="H57" s="277">
        <f t="shared" si="5"/>
        <v>2</v>
      </c>
    </row>
    <row r="58" spans="1:23" x14ac:dyDescent="0.25">
      <c r="B58" s="277">
        <v>2</v>
      </c>
      <c r="C58" s="39">
        <f>IF(OR(B58&gt;E$5,E58&lt;0.5),"",E$20*D40+E$21+0.0005)</f>
        <v>3.796796296296296</v>
      </c>
      <c r="D58" s="10">
        <f t="shared" si="6"/>
        <v>0.52762910603541391</v>
      </c>
      <c r="E58" s="30">
        <f t="shared" si="2"/>
        <v>54</v>
      </c>
      <c r="F58" s="29">
        <f t="shared" si="3"/>
        <v>2.7385063298526169</v>
      </c>
      <c r="G58" s="31">
        <f t="shared" si="4"/>
        <v>4.8550862627399756</v>
      </c>
      <c r="H58" s="277">
        <f t="shared" si="5"/>
        <v>3</v>
      </c>
    </row>
    <row r="59" spans="1:23" ht="13.8" thickBot="1" x14ac:dyDescent="0.3">
      <c r="B59" s="278">
        <v>1</v>
      </c>
      <c r="C59" s="39">
        <f>IF(OR(B59&gt;E$5,E59&lt;0.5),"",E$20*D41+E$21+0.0006)</f>
        <v>1.6159846153846149</v>
      </c>
      <c r="D59" s="10">
        <f t="shared" si="6"/>
        <v>0.31216698232207551</v>
      </c>
      <c r="E59" s="30">
        <f t="shared" si="2"/>
        <v>65</v>
      </c>
      <c r="F59" s="29">
        <f t="shared" si="3"/>
        <v>0.99235937770093685</v>
      </c>
      <c r="G59" s="31">
        <f t="shared" si="4"/>
        <v>2.2396098530682931</v>
      </c>
      <c r="H59" s="339">
        <f t="shared" si="5"/>
        <v>4</v>
      </c>
    </row>
    <row r="60" spans="1:23" ht="13.8" thickBot="1" x14ac:dyDescent="0.3">
      <c r="B60" s="262" t="s">
        <v>35</v>
      </c>
      <c r="C60" s="40">
        <f>E20*D42+E21</f>
        <v>4.4489795918367356</v>
      </c>
      <c r="D60" s="33">
        <f>ABS(E$20*E42)</f>
        <v>0.23850671004046237</v>
      </c>
      <c r="E60" s="34">
        <f>F42</f>
        <v>245</v>
      </c>
      <c r="F60" s="32">
        <f>C60-D60*(TINV(0.05,(E60-1)))</f>
        <v>3.9791848176849847</v>
      </c>
      <c r="G60" s="35">
        <f>C60+D60*(TINV(0.05,(E60-1)))</f>
        <v>4.9187743659884866</v>
      </c>
    </row>
    <row r="61" spans="1:23" x14ac:dyDescent="0.25">
      <c r="B61" s="60"/>
      <c r="C61" s="61"/>
      <c r="D61" s="62"/>
      <c r="E61" s="63"/>
      <c r="F61" s="61"/>
      <c r="G61" s="61"/>
      <c r="H61" s="105"/>
    </row>
    <row r="62" spans="1:23" x14ac:dyDescent="0.25">
      <c r="A62" s="74"/>
      <c r="B62" s="60"/>
      <c r="C62" s="107">
        <v>12</v>
      </c>
      <c r="D62" s="107">
        <v>11</v>
      </c>
      <c r="E62" s="63">
        <v>10</v>
      </c>
      <c r="F62" s="107">
        <v>9</v>
      </c>
      <c r="G62" s="107">
        <v>8</v>
      </c>
      <c r="H62" s="105">
        <v>7</v>
      </c>
      <c r="I62" s="105">
        <v>6</v>
      </c>
      <c r="J62" s="105">
        <v>5</v>
      </c>
      <c r="K62" s="105">
        <v>4</v>
      </c>
      <c r="L62" s="105">
        <v>3</v>
      </c>
      <c r="M62" s="105">
        <v>2</v>
      </c>
      <c r="N62" s="105">
        <v>1</v>
      </c>
      <c r="O62" s="105" t="s">
        <v>23</v>
      </c>
      <c r="P62" s="59"/>
      <c r="Q62" s="59"/>
      <c r="R62" s="59"/>
    </row>
    <row r="63" spans="1:23" x14ac:dyDescent="0.25">
      <c r="A63" s="74"/>
      <c r="B63" s="205" t="s">
        <v>56</v>
      </c>
      <c r="C63" s="106">
        <f t="shared" ref="C63:M63" si="7">IF(C62&lt;$E$5+0.1,D63+1,0)</f>
        <v>0</v>
      </c>
      <c r="D63" s="106">
        <f t="shared" si="7"/>
        <v>0</v>
      </c>
      <c r="E63" s="106">
        <f t="shared" si="7"/>
        <v>0</v>
      </c>
      <c r="F63" s="106">
        <f t="shared" si="7"/>
        <v>0</v>
      </c>
      <c r="G63" s="106">
        <f t="shared" si="7"/>
        <v>0</v>
      </c>
      <c r="H63" s="106">
        <f t="shared" si="7"/>
        <v>0</v>
      </c>
      <c r="I63" s="106">
        <f t="shared" si="7"/>
        <v>0</v>
      </c>
      <c r="J63" s="106">
        <f t="shared" si="7"/>
        <v>0</v>
      </c>
      <c r="K63" s="106">
        <f t="shared" si="7"/>
        <v>4</v>
      </c>
      <c r="L63" s="106">
        <f t="shared" si="7"/>
        <v>3</v>
      </c>
      <c r="M63" s="106">
        <f t="shared" si="7"/>
        <v>2</v>
      </c>
      <c r="N63" s="106">
        <v>1</v>
      </c>
      <c r="O63" s="340" t="s">
        <v>67</v>
      </c>
      <c r="P63" s="340"/>
      <c r="Q63" s="340"/>
      <c r="R63" s="340"/>
      <c r="S63" s="104"/>
      <c r="T63" s="104"/>
      <c r="U63" s="104"/>
      <c r="V63" s="104"/>
      <c r="W63" s="104"/>
    </row>
    <row r="64" spans="1:23" x14ac:dyDescent="0.25">
      <c r="A64" s="74"/>
      <c r="B64" s="205">
        <v>12</v>
      </c>
      <c r="C64" s="106">
        <f t="shared" ref="C64:C75" si="8">IF($H$48=$B64,C$63,0)</f>
        <v>0</v>
      </c>
      <c r="D64" s="106">
        <f t="shared" ref="D64:D75" si="9">IF($H$49=$B64,D$63,0)</f>
        <v>0</v>
      </c>
      <c r="E64" s="106">
        <f t="shared" ref="E64:E75" si="10">IF($H$50=$B64,E$63,0)</f>
        <v>0</v>
      </c>
      <c r="F64" s="106">
        <f t="shared" ref="F64:F75" si="11">IF($H$51=$B64,F$63,0)</f>
        <v>0</v>
      </c>
      <c r="G64" s="106">
        <f t="shared" ref="G64:G75" si="12">IF($H$52=$B64,G$63,0)</f>
        <v>0</v>
      </c>
      <c r="H64" s="106">
        <f t="shared" ref="H64:H75" si="13">IF($H$53=$B64,H$63,0)</f>
        <v>0</v>
      </c>
      <c r="I64" s="106">
        <f t="shared" ref="I64:I75" si="14">IF($H$54=$B64,I$63,0)</f>
        <v>0</v>
      </c>
      <c r="J64" s="106">
        <f t="shared" ref="J64:J75" si="15">IF($H$55=$B64,J$63,0)</f>
        <v>0</v>
      </c>
      <c r="K64" s="106">
        <f t="shared" ref="K64:K75" si="16">IF($H$56=$B64,K$63,0)</f>
        <v>0</v>
      </c>
      <c r="L64" s="106">
        <f t="shared" ref="L64:L75" si="17">IF($H$57=$B64,L$63,0)</f>
        <v>0</v>
      </c>
      <c r="M64" s="106">
        <f t="shared" ref="M64:M75" si="18">IF($H$58=$B64,M$63,0)</f>
        <v>0</v>
      </c>
      <c r="N64" s="106">
        <f>IF($H$59=$B64,N$63,0)</f>
        <v>0</v>
      </c>
      <c r="O64" s="340">
        <f t="shared" ref="O64:O75" si="19">SUM(C64:N64)</f>
        <v>0</v>
      </c>
      <c r="P64" s="59"/>
      <c r="Q64" s="59"/>
      <c r="R64" s="59"/>
    </row>
    <row r="65" spans="1:18" x14ac:dyDescent="0.25">
      <c r="A65" s="74"/>
      <c r="B65" s="205">
        <v>11</v>
      </c>
      <c r="C65" s="106">
        <f t="shared" si="8"/>
        <v>0</v>
      </c>
      <c r="D65" s="106">
        <f t="shared" si="9"/>
        <v>0</v>
      </c>
      <c r="E65" s="106">
        <f t="shared" si="10"/>
        <v>0</v>
      </c>
      <c r="F65" s="106">
        <f t="shared" si="11"/>
        <v>0</v>
      </c>
      <c r="G65" s="106">
        <f t="shared" si="12"/>
        <v>0</v>
      </c>
      <c r="H65" s="106">
        <f t="shared" si="13"/>
        <v>0</v>
      </c>
      <c r="I65" s="106">
        <f t="shared" si="14"/>
        <v>0</v>
      </c>
      <c r="J65" s="106">
        <f t="shared" si="15"/>
        <v>0</v>
      </c>
      <c r="K65" s="106">
        <f t="shared" si="16"/>
        <v>0</v>
      </c>
      <c r="L65" s="106">
        <f t="shared" si="17"/>
        <v>0</v>
      </c>
      <c r="M65" s="106">
        <f t="shared" si="18"/>
        <v>0</v>
      </c>
      <c r="N65" s="106">
        <f t="shared" ref="N65:N75" si="20">IF($H$59=$B65,N$63,0)</f>
        <v>0</v>
      </c>
      <c r="O65" s="340">
        <f t="shared" si="19"/>
        <v>0</v>
      </c>
      <c r="P65" s="59"/>
      <c r="Q65" s="59"/>
      <c r="R65" s="59"/>
    </row>
    <row r="66" spans="1:18" x14ac:dyDescent="0.25">
      <c r="A66" s="74"/>
      <c r="B66" s="205">
        <v>10</v>
      </c>
      <c r="C66" s="106">
        <f t="shared" si="8"/>
        <v>0</v>
      </c>
      <c r="D66" s="106">
        <f t="shared" si="9"/>
        <v>0</v>
      </c>
      <c r="E66" s="106">
        <f t="shared" si="10"/>
        <v>0</v>
      </c>
      <c r="F66" s="106">
        <f t="shared" si="11"/>
        <v>0</v>
      </c>
      <c r="G66" s="106">
        <f t="shared" si="12"/>
        <v>0</v>
      </c>
      <c r="H66" s="106">
        <f t="shared" si="13"/>
        <v>0</v>
      </c>
      <c r="I66" s="106">
        <f t="shared" si="14"/>
        <v>0</v>
      </c>
      <c r="J66" s="106">
        <f t="shared" si="15"/>
        <v>0</v>
      </c>
      <c r="K66" s="106">
        <f t="shared" si="16"/>
        <v>0</v>
      </c>
      <c r="L66" s="106">
        <f t="shared" si="17"/>
        <v>0</v>
      </c>
      <c r="M66" s="106">
        <f t="shared" si="18"/>
        <v>0</v>
      </c>
      <c r="N66" s="106">
        <f t="shared" si="20"/>
        <v>0</v>
      </c>
      <c r="O66" s="340">
        <f t="shared" si="19"/>
        <v>0</v>
      </c>
      <c r="P66" s="59"/>
      <c r="Q66" s="59"/>
      <c r="R66" s="59"/>
    </row>
    <row r="67" spans="1:18" x14ac:dyDescent="0.25">
      <c r="A67" s="74"/>
      <c r="B67" s="205">
        <v>9</v>
      </c>
      <c r="C67" s="106">
        <f t="shared" si="8"/>
        <v>0</v>
      </c>
      <c r="D67" s="106">
        <f t="shared" si="9"/>
        <v>0</v>
      </c>
      <c r="E67" s="106">
        <f t="shared" si="10"/>
        <v>0</v>
      </c>
      <c r="F67" s="106">
        <f t="shared" si="11"/>
        <v>0</v>
      </c>
      <c r="G67" s="106">
        <f t="shared" si="12"/>
        <v>0</v>
      </c>
      <c r="H67" s="106">
        <f t="shared" si="13"/>
        <v>0</v>
      </c>
      <c r="I67" s="106">
        <f t="shared" si="14"/>
        <v>0</v>
      </c>
      <c r="J67" s="106">
        <f t="shared" si="15"/>
        <v>0</v>
      </c>
      <c r="K67" s="106">
        <f t="shared" si="16"/>
        <v>0</v>
      </c>
      <c r="L67" s="106">
        <f t="shared" si="17"/>
        <v>0</v>
      </c>
      <c r="M67" s="106">
        <f t="shared" si="18"/>
        <v>0</v>
      </c>
      <c r="N67" s="106">
        <f t="shared" si="20"/>
        <v>0</v>
      </c>
      <c r="O67" s="340">
        <f t="shared" si="19"/>
        <v>0</v>
      </c>
      <c r="P67" s="59"/>
      <c r="Q67" s="59"/>
      <c r="R67" s="59"/>
    </row>
    <row r="68" spans="1:18" x14ac:dyDescent="0.25">
      <c r="A68" s="74"/>
      <c r="B68" s="205">
        <v>8</v>
      </c>
      <c r="C68" s="106">
        <f t="shared" si="8"/>
        <v>0</v>
      </c>
      <c r="D68" s="106">
        <f t="shared" si="9"/>
        <v>0</v>
      </c>
      <c r="E68" s="106">
        <f t="shared" si="10"/>
        <v>0</v>
      </c>
      <c r="F68" s="106">
        <f t="shared" si="11"/>
        <v>0</v>
      </c>
      <c r="G68" s="106">
        <f t="shared" si="12"/>
        <v>0</v>
      </c>
      <c r="H68" s="106">
        <f t="shared" si="13"/>
        <v>0</v>
      </c>
      <c r="I68" s="106">
        <f t="shared" si="14"/>
        <v>0</v>
      </c>
      <c r="J68" s="106">
        <f t="shared" si="15"/>
        <v>0</v>
      </c>
      <c r="K68" s="106">
        <f t="shared" si="16"/>
        <v>0</v>
      </c>
      <c r="L68" s="106">
        <f t="shared" si="17"/>
        <v>0</v>
      </c>
      <c r="M68" s="106">
        <f t="shared" si="18"/>
        <v>0</v>
      </c>
      <c r="N68" s="106">
        <f t="shared" si="20"/>
        <v>0</v>
      </c>
      <c r="O68" s="340">
        <f t="shared" si="19"/>
        <v>0</v>
      </c>
      <c r="P68" s="59"/>
      <c r="Q68" s="59"/>
      <c r="R68" s="59"/>
    </row>
    <row r="69" spans="1:18" x14ac:dyDescent="0.25">
      <c r="A69" s="74"/>
      <c r="B69" s="205">
        <v>7</v>
      </c>
      <c r="C69" s="106">
        <f t="shared" si="8"/>
        <v>0</v>
      </c>
      <c r="D69" s="106">
        <f t="shared" si="9"/>
        <v>0</v>
      </c>
      <c r="E69" s="106">
        <f t="shared" si="10"/>
        <v>0</v>
      </c>
      <c r="F69" s="106">
        <f t="shared" si="11"/>
        <v>0</v>
      </c>
      <c r="G69" s="106">
        <f t="shared" si="12"/>
        <v>0</v>
      </c>
      <c r="H69" s="106">
        <f t="shared" si="13"/>
        <v>0</v>
      </c>
      <c r="I69" s="106">
        <f t="shared" si="14"/>
        <v>0</v>
      </c>
      <c r="J69" s="106">
        <f t="shared" si="15"/>
        <v>0</v>
      </c>
      <c r="K69" s="106">
        <f t="shared" si="16"/>
        <v>0</v>
      </c>
      <c r="L69" s="106">
        <f t="shared" si="17"/>
        <v>0</v>
      </c>
      <c r="M69" s="106">
        <f t="shared" si="18"/>
        <v>0</v>
      </c>
      <c r="N69" s="106">
        <f t="shared" si="20"/>
        <v>0</v>
      </c>
      <c r="O69" s="340">
        <f t="shared" si="19"/>
        <v>0</v>
      </c>
      <c r="P69" s="59"/>
      <c r="Q69" s="59"/>
      <c r="R69" s="59"/>
    </row>
    <row r="70" spans="1:18" x14ac:dyDescent="0.25">
      <c r="A70" s="74"/>
      <c r="B70" s="205">
        <v>6</v>
      </c>
      <c r="C70" s="106">
        <f t="shared" si="8"/>
        <v>0</v>
      </c>
      <c r="D70" s="106">
        <f t="shared" si="9"/>
        <v>0</v>
      </c>
      <c r="E70" s="106">
        <f t="shared" si="10"/>
        <v>0</v>
      </c>
      <c r="F70" s="106">
        <f t="shared" si="11"/>
        <v>0</v>
      </c>
      <c r="G70" s="106">
        <f t="shared" si="12"/>
        <v>0</v>
      </c>
      <c r="H70" s="106">
        <f t="shared" si="13"/>
        <v>0</v>
      </c>
      <c r="I70" s="106">
        <f t="shared" si="14"/>
        <v>0</v>
      </c>
      <c r="J70" s="106">
        <f t="shared" si="15"/>
        <v>0</v>
      </c>
      <c r="K70" s="106">
        <f t="shared" si="16"/>
        <v>0</v>
      </c>
      <c r="L70" s="106">
        <f t="shared" si="17"/>
        <v>0</v>
      </c>
      <c r="M70" s="106">
        <f t="shared" si="18"/>
        <v>0</v>
      </c>
      <c r="N70" s="106">
        <f t="shared" si="20"/>
        <v>0</v>
      </c>
      <c r="O70" s="340">
        <f t="shared" si="19"/>
        <v>0</v>
      </c>
      <c r="P70" s="59"/>
      <c r="Q70" s="59"/>
      <c r="R70" s="59"/>
    </row>
    <row r="71" spans="1:18" x14ac:dyDescent="0.25">
      <c r="A71" s="74"/>
      <c r="B71" s="205">
        <v>5</v>
      </c>
      <c r="C71" s="106">
        <f t="shared" si="8"/>
        <v>0</v>
      </c>
      <c r="D71" s="106">
        <f t="shared" si="9"/>
        <v>0</v>
      </c>
      <c r="E71" s="106">
        <f t="shared" si="10"/>
        <v>0</v>
      </c>
      <c r="F71" s="106">
        <f t="shared" si="11"/>
        <v>0</v>
      </c>
      <c r="G71" s="106">
        <f t="shared" si="12"/>
        <v>0</v>
      </c>
      <c r="H71" s="106">
        <f t="shared" si="13"/>
        <v>0</v>
      </c>
      <c r="I71" s="106">
        <f t="shared" si="14"/>
        <v>0</v>
      </c>
      <c r="J71" s="106">
        <f t="shared" si="15"/>
        <v>0</v>
      </c>
      <c r="K71" s="106">
        <f t="shared" si="16"/>
        <v>0</v>
      </c>
      <c r="L71" s="106">
        <f t="shared" si="17"/>
        <v>0</v>
      </c>
      <c r="M71" s="106">
        <f t="shared" si="18"/>
        <v>0</v>
      </c>
      <c r="N71" s="106">
        <f t="shared" si="20"/>
        <v>0</v>
      </c>
      <c r="O71" s="340">
        <f t="shared" si="19"/>
        <v>0</v>
      </c>
      <c r="P71" s="59"/>
      <c r="Q71" s="59"/>
      <c r="R71" s="59"/>
    </row>
    <row r="72" spans="1:18" x14ac:dyDescent="0.25">
      <c r="A72" s="74"/>
      <c r="B72" s="205">
        <v>4</v>
      </c>
      <c r="C72" s="106">
        <f t="shared" si="8"/>
        <v>0</v>
      </c>
      <c r="D72" s="106">
        <f t="shared" si="9"/>
        <v>0</v>
      </c>
      <c r="E72" s="106">
        <f t="shared" si="10"/>
        <v>0</v>
      </c>
      <c r="F72" s="106">
        <f t="shared" si="11"/>
        <v>0</v>
      </c>
      <c r="G72" s="106">
        <f t="shared" si="12"/>
        <v>0</v>
      </c>
      <c r="H72" s="106">
        <f t="shared" si="13"/>
        <v>0</v>
      </c>
      <c r="I72" s="106">
        <f t="shared" si="14"/>
        <v>0</v>
      </c>
      <c r="J72" s="106">
        <f t="shared" si="15"/>
        <v>0</v>
      </c>
      <c r="K72" s="106">
        <f t="shared" si="16"/>
        <v>0</v>
      </c>
      <c r="L72" s="106">
        <f t="shared" si="17"/>
        <v>0</v>
      </c>
      <c r="M72" s="106">
        <f t="shared" si="18"/>
        <v>0</v>
      </c>
      <c r="N72" s="106">
        <f t="shared" si="20"/>
        <v>1</v>
      </c>
      <c r="O72" s="340">
        <f t="shared" si="19"/>
        <v>1</v>
      </c>
      <c r="P72" s="59"/>
      <c r="Q72" s="59"/>
      <c r="R72" s="59"/>
    </row>
    <row r="73" spans="1:18" x14ac:dyDescent="0.25">
      <c r="A73" s="74"/>
      <c r="B73" s="205">
        <v>3</v>
      </c>
      <c r="C73" s="106">
        <f t="shared" si="8"/>
        <v>0</v>
      </c>
      <c r="D73" s="106">
        <f t="shared" si="9"/>
        <v>0</v>
      </c>
      <c r="E73" s="106">
        <f t="shared" si="10"/>
        <v>0</v>
      </c>
      <c r="F73" s="106">
        <f t="shared" si="11"/>
        <v>0</v>
      </c>
      <c r="G73" s="106">
        <f t="shared" si="12"/>
        <v>0</v>
      </c>
      <c r="H73" s="106">
        <f t="shared" si="13"/>
        <v>0</v>
      </c>
      <c r="I73" s="106">
        <f t="shared" si="14"/>
        <v>0</v>
      </c>
      <c r="J73" s="106">
        <f t="shared" si="15"/>
        <v>0</v>
      </c>
      <c r="K73" s="106">
        <f t="shared" si="16"/>
        <v>0</v>
      </c>
      <c r="L73" s="106">
        <f t="shared" si="17"/>
        <v>0</v>
      </c>
      <c r="M73" s="106">
        <f t="shared" si="18"/>
        <v>2</v>
      </c>
      <c r="N73" s="106">
        <f t="shared" si="20"/>
        <v>0</v>
      </c>
      <c r="O73" s="340">
        <f t="shared" si="19"/>
        <v>2</v>
      </c>
      <c r="P73" s="59"/>
      <c r="Q73" s="59"/>
      <c r="R73" s="59"/>
    </row>
    <row r="74" spans="1:18" x14ac:dyDescent="0.25">
      <c r="A74" s="74"/>
      <c r="B74" s="205">
        <v>2</v>
      </c>
      <c r="C74" s="106">
        <f t="shared" si="8"/>
        <v>0</v>
      </c>
      <c r="D74" s="106">
        <f t="shared" si="9"/>
        <v>0</v>
      </c>
      <c r="E74" s="106">
        <f t="shared" si="10"/>
        <v>0</v>
      </c>
      <c r="F74" s="106">
        <f t="shared" si="11"/>
        <v>0</v>
      </c>
      <c r="G74" s="106">
        <f t="shared" si="12"/>
        <v>0</v>
      </c>
      <c r="H74" s="106">
        <f t="shared" si="13"/>
        <v>0</v>
      </c>
      <c r="I74" s="106">
        <f t="shared" si="14"/>
        <v>0</v>
      </c>
      <c r="J74" s="106">
        <f t="shared" si="15"/>
        <v>0</v>
      </c>
      <c r="K74" s="106">
        <f t="shared" si="16"/>
        <v>0</v>
      </c>
      <c r="L74" s="106">
        <f t="shared" si="17"/>
        <v>3</v>
      </c>
      <c r="M74" s="106">
        <f t="shared" si="18"/>
        <v>0</v>
      </c>
      <c r="N74" s="106">
        <f t="shared" si="20"/>
        <v>0</v>
      </c>
      <c r="O74" s="340">
        <f t="shared" si="19"/>
        <v>3</v>
      </c>
      <c r="P74" s="59"/>
      <c r="Q74" s="59"/>
      <c r="R74" s="59"/>
    </row>
    <row r="75" spans="1:18" x14ac:dyDescent="0.25">
      <c r="A75" s="74"/>
      <c r="B75" s="205">
        <v>1</v>
      </c>
      <c r="C75" s="106">
        <f t="shared" si="8"/>
        <v>0</v>
      </c>
      <c r="D75" s="106">
        <f t="shared" si="9"/>
        <v>0</v>
      </c>
      <c r="E75" s="106">
        <f t="shared" si="10"/>
        <v>0</v>
      </c>
      <c r="F75" s="106">
        <f t="shared" si="11"/>
        <v>0</v>
      </c>
      <c r="G75" s="106">
        <f t="shared" si="12"/>
        <v>0</v>
      </c>
      <c r="H75" s="106">
        <f t="shared" si="13"/>
        <v>0</v>
      </c>
      <c r="I75" s="106">
        <f t="shared" si="14"/>
        <v>0</v>
      </c>
      <c r="J75" s="106">
        <f t="shared" si="15"/>
        <v>0</v>
      </c>
      <c r="K75" s="106">
        <f t="shared" si="16"/>
        <v>4</v>
      </c>
      <c r="L75" s="106">
        <f t="shared" si="17"/>
        <v>0</v>
      </c>
      <c r="M75" s="106">
        <f t="shared" si="18"/>
        <v>0</v>
      </c>
      <c r="N75" s="106">
        <f t="shared" si="20"/>
        <v>0</v>
      </c>
      <c r="O75" s="340">
        <f t="shared" si="19"/>
        <v>4</v>
      </c>
      <c r="P75" s="59"/>
      <c r="Q75" s="59"/>
      <c r="R75" s="59"/>
    </row>
    <row r="76" spans="1:18" x14ac:dyDescent="0.25">
      <c r="A76" s="74"/>
      <c r="B76" s="60"/>
      <c r="C76" s="61"/>
      <c r="D76" s="62"/>
      <c r="E76" s="63"/>
      <c r="F76" s="61"/>
      <c r="G76" s="61"/>
      <c r="H76" s="105"/>
      <c r="I76" s="341"/>
      <c r="J76" s="59"/>
      <c r="K76" s="59"/>
      <c r="L76" s="59"/>
      <c r="M76" s="59"/>
      <c r="N76" s="59"/>
      <c r="O76" s="59"/>
      <c r="P76" s="59"/>
      <c r="Q76" s="59"/>
      <c r="R76" s="59"/>
    </row>
    <row r="78" spans="1:18" x14ac:dyDescent="0.25">
      <c r="A78" s="75" t="s">
        <v>53</v>
      </c>
      <c r="E78" s="103"/>
    </row>
    <row r="80" spans="1:18" ht="13.8" thickBot="1" x14ac:dyDescent="0.3">
      <c r="B80" s="71"/>
      <c r="C80" s="133" t="s">
        <v>126</v>
      </c>
      <c r="D80" s="61"/>
      <c r="E80" s="62"/>
      <c r="F80" s="63"/>
      <c r="G80" s="61"/>
      <c r="H80" s="61"/>
      <c r="I80"/>
      <c r="J80" s="77"/>
    </row>
    <row r="81" spans="1:14" x14ac:dyDescent="0.25">
      <c r="A81" s="41" t="s">
        <v>23</v>
      </c>
      <c r="B81" s="82"/>
      <c r="C81" s="41" t="s">
        <v>23</v>
      </c>
      <c r="D81" s="36" t="s">
        <v>24</v>
      </c>
      <c r="E81" s="21" t="s">
        <v>26</v>
      </c>
      <c r="F81" s="22" t="s">
        <v>33</v>
      </c>
      <c r="G81" s="21" t="s">
        <v>54</v>
      </c>
      <c r="H81" s="17" t="s">
        <v>30</v>
      </c>
      <c r="I81" s="18"/>
      <c r="J81" s="77"/>
    </row>
    <row r="82" spans="1:14" ht="13.8" thickBot="1" x14ac:dyDescent="0.3">
      <c r="A82" s="42" t="s">
        <v>155</v>
      </c>
      <c r="B82" s="76" t="s">
        <v>57</v>
      </c>
      <c r="C82" s="42" t="s">
        <v>106</v>
      </c>
      <c r="D82" s="37" t="s">
        <v>25</v>
      </c>
      <c r="E82" s="23" t="s">
        <v>27</v>
      </c>
      <c r="F82" s="24" t="s">
        <v>34</v>
      </c>
      <c r="G82" s="23" t="s">
        <v>55</v>
      </c>
      <c r="H82" s="19" t="s">
        <v>28</v>
      </c>
      <c r="I82" s="20" t="s">
        <v>29</v>
      </c>
      <c r="J82" s="78"/>
    </row>
    <row r="83" spans="1:14" x14ac:dyDescent="0.25">
      <c r="A83" s="276" t="str">
        <f>IF($C83&gt;$E$5," ",IF($C83&lt;7,A83," "))</f>
        <v xml:space="preserve"> </v>
      </c>
      <c r="B83" s="342">
        <f t="shared" ref="B83:B93" si="21">IF(B84&lt;E$5-0.1,B84+1,99)</f>
        <v>99</v>
      </c>
      <c r="C83" s="248" t="str">
        <f t="shared" ref="C83:C94" si="22">IF(H48&lt;E$5+0.1,CHOOSE(B83,$O$75,$O$74,$O$73,$O$72,$O$71,$O$70,$O$69,$O$68,$O$67,$O$66,$O$65,$O$64),"")</f>
        <v/>
      </c>
      <c r="D83" s="39" t="str">
        <f>IF(G84&lt;E$3,LARGE(C$48:C$59,12),"")</f>
        <v/>
      </c>
      <c r="E83" s="69" t="str">
        <f t="shared" ref="E83:E94" si="23">IF(B83&lt;88,CHOOSE(C83,$D$59,$D$58,$D$57,$D$56,$D$55,$D$54,$D$53,$D$52,$D$51,$D$50,$D$49,$D$48),"")</f>
        <v/>
      </c>
      <c r="F83" s="162">
        <f t="shared" ref="F83:F94" si="24">IF(B83&lt;88,CHOOSE(C83,$E$59,$E$58,$E$57,$E$56,$E$55,$E$54,$E$53,$E$52,$E$51,$E$50,$E$49,$E$48,""),0)</f>
        <v>0</v>
      </c>
      <c r="G83" s="9" t="str">
        <f t="shared" ref="G83:G91" si="25">IF(J83=0,"  ",F83+G84)</f>
        <v xml:space="preserve">  </v>
      </c>
      <c r="H83" s="25" t="str">
        <f>IF(F83&gt;0.5,D83-E83*(TINV(0.05,(F83-1))),"")</f>
        <v/>
      </c>
      <c r="I83" s="28" t="str">
        <f>IF(F83&gt;1.5,D83+E83*(TINV(0.05,(F83-1))),"")</f>
        <v/>
      </c>
      <c r="J83" s="78">
        <f>MAX(E5-B83+1,0)</f>
        <v>0</v>
      </c>
      <c r="K83" s="218" t="str">
        <f t="shared" ref="K83:K94" si="26">IF(OR($C83&gt;6,$C83&gt;$E$5)," ",IF($C83=1,"A",IF($C83=2,"B",IF($C83=3,"C",IF($C83=4,"D",IF($C83=5,"E",IF($C83=6,"F","  ")))))))</f>
        <v xml:space="preserve"> </v>
      </c>
      <c r="L83" s="219" t="str">
        <f t="shared" ref="L83:L94" si="27">IF(OR($C83&lt;7,$C83&gt;$E$5)," ",IF($C83=7,"G",IF($C83=8,"H",IF($C83=9,"I",IF($C83=10,"J",IF($C83=11,"K",IF($C83=12,"L","  ")))))))</f>
        <v xml:space="preserve"> </v>
      </c>
      <c r="N83" s="276" t="str">
        <f t="shared" ref="N83:N94" si="28">IF($C83&gt;$E$5," ",IF($C83&lt;7,X83,Y83))</f>
        <v xml:space="preserve"> </v>
      </c>
    </row>
    <row r="84" spans="1:14" x14ac:dyDescent="0.25">
      <c r="A84" s="277" t="str">
        <f t="shared" ref="A84:A94" si="29">IF($C84&gt;$E$5," ",IF($C84&lt;7,K84,L84))</f>
        <v xml:space="preserve"> </v>
      </c>
      <c r="B84" s="342">
        <f t="shared" si="21"/>
        <v>99</v>
      </c>
      <c r="C84" s="252" t="str">
        <f t="shared" si="22"/>
        <v/>
      </c>
      <c r="D84" s="39" t="str">
        <f>IF(G85&lt;E$3,LARGE(C$48:C$59,11),"")</f>
        <v/>
      </c>
      <c r="E84" s="69" t="str">
        <f t="shared" si="23"/>
        <v/>
      </c>
      <c r="F84" s="30">
        <f t="shared" si="24"/>
        <v>0</v>
      </c>
      <c r="G84" s="9" t="str">
        <f t="shared" si="25"/>
        <v xml:space="preserve">  </v>
      </c>
      <c r="H84" s="29" t="str">
        <f t="shared" ref="H84:H91" si="30">IF(OR(B84&gt;E$5,F84&lt;1.5)," ",D84-E84*(TINV(0.05,(F84-1))))</f>
        <v xml:space="preserve"> </v>
      </c>
      <c r="I84" s="31" t="str">
        <f t="shared" ref="I84:I91" si="31">IF(OR(B84&gt;E$5,F84&lt;1.5)," ",D84+E84*(TINV(0.05,(F84-1))))</f>
        <v xml:space="preserve"> </v>
      </c>
      <c r="J84" s="78">
        <f>MAX(E5-B84+1,0)</f>
        <v>0</v>
      </c>
      <c r="K84" s="220" t="str">
        <f t="shared" si="26"/>
        <v xml:space="preserve"> </v>
      </c>
      <c r="L84" s="221" t="str">
        <f t="shared" si="27"/>
        <v xml:space="preserve"> </v>
      </c>
      <c r="N84" s="277" t="str">
        <f t="shared" si="28"/>
        <v xml:space="preserve"> </v>
      </c>
    </row>
    <row r="85" spans="1:14" x14ac:dyDescent="0.25">
      <c r="A85" s="277" t="str">
        <f t="shared" si="29"/>
        <v xml:space="preserve"> </v>
      </c>
      <c r="B85" s="342">
        <f t="shared" si="21"/>
        <v>99</v>
      </c>
      <c r="C85" s="252" t="str">
        <f t="shared" si="22"/>
        <v/>
      </c>
      <c r="D85" s="39" t="str">
        <f>IF(G86&lt;E$3,LARGE(C$48:C$59,10),"")</f>
        <v/>
      </c>
      <c r="E85" s="69" t="str">
        <f t="shared" si="23"/>
        <v/>
      </c>
      <c r="F85" s="30">
        <f t="shared" si="24"/>
        <v>0</v>
      </c>
      <c r="G85" s="9" t="str">
        <f t="shared" si="25"/>
        <v xml:space="preserve">  </v>
      </c>
      <c r="H85" s="29" t="str">
        <f t="shared" si="30"/>
        <v xml:space="preserve"> </v>
      </c>
      <c r="I85" s="31" t="str">
        <f t="shared" si="31"/>
        <v xml:space="preserve"> </v>
      </c>
      <c r="J85" s="78">
        <f>MAX(E5-B85+1,0)</f>
        <v>0</v>
      </c>
      <c r="K85" s="220" t="str">
        <f t="shared" si="26"/>
        <v xml:space="preserve"> </v>
      </c>
      <c r="L85" s="221" t="str">
        <f t="shared" si="27"/>
        <v xml:space="preserve"> </v>
      </c>
      <c r="N85" s="277" t="str">
        <f t="shared" si="28"/>
        <v xml:space="preserve"> </v>
      </c>
    </row>
    <row r="86" spans="1:14" x14ac:dyDescent="0.25">
      <c r="A86" s="277" t="str">
        <f t="shared" si="29"/>
        <v xml:space="preserve"> </v>
      </c>
      <c r="B86" s="342">
        <f t="shared" si="21"/>
        <v>99</v>
      </c>
      <c r="C86" s="252" t="str">
        <f t="shared" si="22"/>
        <v/>
      </c>
      <c r="D86" s="39" t="str">
        <f>IF(G87&lt;E$3,LARGE(C$48:C$59,9),"")</f>
        <v/>
      </c>
      <c r="E86" s="69" t="str">
        <f t="shared" si="23"/>
        <v/>
      </c>
      <c r="F86" s="30">
        <f t="shared" si="24"/>
        <v>0</v>
      </c>
      <c r="G86" s="9" t="str">
        <f t="shared" si="25"/>
        <v xml:space="preserve">  </v>
      </c>
      <c r="H86" s="29" t="str">
        <f t="shared" si="30"/>
        <v xml:space="preserve"> </v>
      </c>
      <c r="I86" s="31" t="str">
        <f t="shared" si="31"/>
        <v xml:space="preserve"> </v>
      </c>
      <c r="J86" s="78">
        <f>MAX(E5-B86+1,0)</f>
        <v>0</v>
      </c>
      <c r="K86" s="220" t="str">
        <f t="shared" si="26"/>
        <v xml:space="preserve"> </v>
      </c>
      <c r="L86" s="221" t="str">
        <f t="shared" si="27"/>
        <v xml:space="preserve"> </v>
      </c>
      <c r="N86" s="277" t="str">
        <f t="shared" si="28"/>
        <v xml:space="preserve"> </v>
      </c>
    </row>
    <row r="87" spans="1:14" x14ac:dyDescent="0.25">
      <c r="A87" s="277" t="str">
        <f t="shared" si="29"/>
        <v xml:space="preserve"> </v>
      </c>
      <c r="B87" s="342">
        <f t="shared" si="21"/>
        <v>99</v>
      </c>
      <c r="C87" s="252" t="str">
        <f t="shared" si="22"/>
        <v/>
      </c>
      <c r="D87" s="39" t="str">
        <f>IF(G88&lt;E$3,LARGE(C$48:C$59,8),"")</f>
        <v/>
      </c>
      <c r="E87" s="69" t="str">
        <f t="shared" si="23"/>
        <v/>
      </c>
      <c r="F87" s="30">
        <f t="shared" si="24"/>
        <v>0</v>
      </c>
      <c r="G87" s="9" t="str">
        <f t="shared" si="25"/>
        <v xml:space="preserve">  </v>
      </c>
      <c r="H87" s="29" t="str">
        <f t="shared" si="30"/>
        <v xml:space="preserve"> </v>
      </c>
      <c r="I87" s="31" t="str">
        <f t="shared" si="31"/>
        <v xml:space="preserve"> </v>
      </c>
      <c r="J87" s="78">
        <f>MAX(E5-B87+1,0)</f>
        <v>0</v>
      </c>
      <c r="K87" s="220" t="str">
        <f t="shared" si="26"/>
        <v xml:space="preserve"> </v>
      </c>
      <c r="L87" s="221" t="str">
        <f t="shared" si="27"/>
        <v xml:space="preserve"> </v>
      </c>
      <c r="N87" s="277" t="str">
        <f t="shared" si="28"/>
        <v xml:space="preserve"> </v>
      </c>
    </row>
    <row r="88" spans="1:14" x14ac:dyDescent="0.25">
      <c r="A88" s="277" t="str">
        <f t="shared" si="29"/>
        <v xml:space="preserve"> </v>
      </c>
      <c r="B88" s="342">
        <f t="shared" si="21"/>
        <v>99</v>
      </c>
      <c r="C88" s="252" t="str">
        <f t="shared" si="22"/>
        <v/>
      </c>
      <c r="D88" s="39" t="str">
        <f>IF(G89&lt;E$3,LARGE(C$48:C$59,7),"")</f>
        <v/>
      </c>
      <c r="E88" s="69" t="str">
        <f t="shared" si="23"/>
        <v/>
      </c>
      <c r="F88" s="30">
        <f t="shared" si="24"/>
        <v>0</v>
      </c>
      <c r="G88" s="9" t="str">
        <f t="shared" si="25"/>
        <v xml:space="preserve">  </v>
      </c>
      <c r="H88" s="29" t="str">
        <f t="shared" si="30"/>
        <v xml:space="preserve"> </v>
      </c>
      <c r="I88" s="31" t="str">
        <f t="shared" si="31"/>
        <v xml:space="preserve"> </v>
      </c>
      <c r="J88" s="78">
        <f>MAX(E5-B88+1,0)</f>
        <v>0</v>
      </c>
      <c r="K88" s="220" t="str">
        <f t="shared" si="26"/>
        <v xml:space="preserve"> </v>
      </c>
      <c r="L88" s="221" t="str">
        <f t="shared" si="27"/>
        <v xml:space="preserve"> </v>
      </c>
      <c r="N88" s="277" t="str">
        <f t="shared" si="28"/>
        <v xml:space="preserve"> </v>
      </c>
    </row>
    <row r="89" spans="1:14" x14ac:dyDescent="0.25">
      <c r="A89" s="277" t="str">
        <f t="shared" si="29"/>
        <v xml:space="preserve"> </v>
      </c>
      <c r="B89" s="342">
        <f t="shared" si="21"/>
        <v>99</v>
      </c>
      <c r="C89" s="252" t="str">
        <f t="shared" si="22"/>
        <v/>
      </c>
      <c r="D89" s="39" t="str">
        <f>IF(G90&lt;E$3,LARGE(C$48:C$59,6),"")</f>
        <v/>
      </c>
      <c r="E89" s="69" t="str">
        <f t="shared" si="23"/>
        <v/>
      </c>
      <c r="F89" s="30">
        <f t="shared" si="24"/>
        <v>0</v>
      </c>
      <c r="G89" s="9" t="str">
        <f t="shared" si="25"/>
        <v xml:space="preserve">  </v>
      </c>
      <c r="H89" s="29" t="str">
        <f t="shared" si="30"/>
        <v xml:space="preserve"> </v>
      </c>
      <c r="I89" s="31" t="str">
        <f t="shared" si="31"/>
        <v xml:space="preserve"> </v>
      </c>
      <c r="J89" s="78">
        <f>MAX(E5-B89+1,0)</f>
        <v>0</v>
      </c>
      <c r="K89" s="220" t="str">
        <f t="shared" si="26"/>
        <v xml:space="preserve"> </v>
      </c>
      <c r="L89" s="221" t="str">
        <f t="shared" si="27"/>
        <v xml:space="preserve"> </v>
      </c>
      <c r="N89" s="277" t="str">
        <f t="shared" si="28"/>
        <v xml:space="preserve"> </v>
      </c>
    </row>
    <row r="90" spans="1:14" x14ac:dyDescent="0.25">
      <c r="A90" s="277" t="str">
        <f t="shared" si="29"/>
        <v xml:space="preserve"> </v>
      </c>
      <c r="B90" s="342">
        <f t="shared" si="21"/>
        <v>99</v>
      </c>
      <c r="C90" s="252" t="str">
        <f t="shared" si="22"/>
        <v/>
      </c>
      <c r="D90" s="39" t="str">
        <f>IF(G91&lt;E$3,LARGE(C$48:C$59,5),"")</f>
        <v/>
      </c>
      <c r="E90" s="69" t="str">
        <f t="shared" si="23"/>
        <v/>
      </c>
      <c r="F90" s="30">
        <f t="shared" si="24"/>
        <v>0</v>
      </c>
      <c r="G90" s="9" t="str">
        <f t="shared" si="25"/>
        <v xml:space="preserve">  </v>
      </c>
      <c r="H90" s="29" t="str">
        <f t="shared" si="30"/>
        <v xml:space="preserve"> </v>
      </c>
      <c r="I90" s="31" t="str">
        <f t="shared" si="31"/>
        <v xml:space="preserve"> </v>
      </c>
      <c r="J90" s="78">
        <f>MAX(E5-B90+1,0)</f>
        <v>0</v>
      </c>
      <c r="K90" s="220" t="str">
        <f t="shared" si="26"/>
        <v xml:space="preserve"> </v>
      </c>
      <c r="L90" s="221" t="str">
        <f t="shared" si="27"/>
        <v xml:space="preserve"> </v>
      </c>
      <c r="N90" s="277" t="str">
        <f t="shared" si="28"/>
        <v xml:space="preserve"> </v>
      </c>
    </row>
    <row r="91" spans="1:14" x14ac:dyDescent="0.25">
      <c r="A91" s="277" t="str">
        <f t="shared" si="29"/>
        <v>A</v>
      </c>
      <c r="B91" s="342">
        <f t="shared" si="21"/>
        <v>4</v>
      </c>
      <c r="C91" s="252">
        <f t="shared" si="22"/>
        <v>1</v>
      </c>
      <c r="D91" s="39">
        <f>IF(G92&lt;E$3,LARGE(C$48:C$59,4),"")</f>
        <v>1.6159846153846149</v>
      </c>
      <c r="E91" s="69">
        <f t="shared" si="23"/>
        <v>0.31216698232207551</v>
      </c>
      <c r="F91" s="30">
        <f t="shared" si="24"/>
        <v>65</v>
      </c>
      <c r="G91" s="9">
        <f t="shared" si="25"/>
        <v>245</v>
      </c>
      <c r="H91" s="29">
        <f t="shared" si="30"/>
        <v>0.99235937770093685</v>
      </c>
      <c r="I91" s="31">
        <f t="shared" si="31"/>
        <v>2.2396098530682931</v>
      </c>
      <c r="J91" s="78">
        <f>MAX(E5-B91+1,0)</f>
        <v>1</v>
      </c>
      <c r="K91" s="220" t="str">
        <f t="shared" si="26"/>
        <v>A</v>
      </c>
      <c r="L91" s="221" t="str">
        <f t="shared" si="27"/>
        <v xml:space="preserve"> </v>
      </c>
      <c r="N91" s="277">
        <f t="shared" si="28"/>
        <v>0</v>
      </c>
    </row>
    <row r="92" spans="1:14" x14ac:dyDescent="0.25">
      <c r="A92" s="277" t="str">
        <f t="shared" si="29"/>
        <v>B</v>
      </c>
      <c r="B92" s="342">
        <f t="shared" si="21"/>
        <v>3</v>
      </c>
      <c r="C92" s="252">
        <f t="shared" si="22"/>
        <v>2</v>
      </c>
      <c r="D92" s="39">
        <f>IF(G93&lt;E$3,LARGE(C$48:C$59,3),"")</f>
        <v>3.796796296296296</v>
      </c>
      <c r="E92" s="69">
        <f t="shared" si="23"/>
        <v>0.52762910603541391</v>
      </c>
      <c r="F92" s="30">
        <f t="shared" si="24"/>
        <v>54</v>
      </c>
      <c r="G92" s="9">
        <f>IF(J92=0,"  ",F92+G93)</f>
        <v>180</v>
      </c>
      <c r="H92" s="29">
        <f>IF(OR(C92&gt;E$5,F92&lt;1.5)," ",D92-E92*(TINV(0.05,(F92-1))))</f>
        <v>2.7385063298526169</v>
      </c>
      <c r="I92" s="31">
        <f>IF(OR(C92&gt;E$5,F92&lt;1.5)," ",D92+E92*(TINV(0.05,(F92-1))))</f>
        <v>4.8550862627399756</v>
      </c>
      <c r="J92" s="78">
        <f>MAX(E5-B92+1,0)</f>
        <v>2</v>
      </c>
      <c r="K92" s="220" t="str">
        <f t="shared" si="26"/>
        <v>B</v>
      </c>
      <c r="L92" s="221" t="str">
        <f t="shared" si="27"/>
        <v xml:space="preserve"> </v>
      </c>
      <c r="N92" s="277">
        <f t="shared" si="28"/>
        <v>0</v>
      </c>
    </row>
    <row r="93" spans="1:14" x14ac:dyDescent="0.25">
      <c r="A93" s="277" t="str">
        <f t="shared" si="29"/>
        <v>C</v>
      </c>
      <c r="B93" s="342">
        <f t="shared" si="21"/>
        <v>2</v>
      </c>
      <c r="C93" s="252">
        <f t="shared" si="22"/>
        <v>3</v>
      </c>
      <c r="D93" s="39">
        <f>IF(G94&lt;E$3,LARGE(C$48:C$59,2),"")</f>
        <v>6.132475471698112</v>
      </c>
      <c r="E93" s="69">
        <f t="shared" si="23"/>
        <v>0.45956827712739357</v>
      </c>
      <c r="F93" s="30">
        <f t="shared" si="24"/>
        <v>53</v>
      </c>
      <c r="G93" s="9">
        <f>F93+G94</f>
        <v>126</v>
      </c>
      <c r="H93" s="29">
        <f>IF(OR(B93&gt;E$5,F93&lt;1.5)," ",D93-E93*(TINV(0.05,(F93-1))))</f>
        <v>5.2102842566927237</v>
      </c>
      <c r="I93" s="31">
        <f>IF(OR(B93&gt;E$5,F93&lt;1.5)," ",D93+E93*(TINV(0.05,(F93-1))))</f>
        <v>7.0546666867035004</v>
      </c>
      <c r="J93" s="78">
        <f>MAX(E5-B93+1,0)</f>
        <v>3</v>
      </c>
      <c r="K93" s="220" t="str">
        <f t="shared" si="26"/>
        <v>C</v>
      </c>
      <c r="L93" s="221" t="str">
        <f t="shared" si="27"/>
        <v xml:space="preserve"> </v>
      </c>
      <c r="N93" s="277">
        <f t="shared" si="28"/>
        <v>0</v>
      </c>
    </row>
    <row r="94" spans="1:14" ht="13.8" thickBot="1" x14ac:dyDescent="0.3">
      <c r="A94" s="339" t="str">
        <f t="shared" si="29"/>
        <v>D</v>
      </c>
      <c r="B94" s="134">
        <v>1</v>
      </c>
      <c r="C94" s="256">
        <f t="shared" si="22"/>
        <v>4</v>
      </c>
      <c r="D94" s="135">
        <f>MAX(C48:C59)</f>
        <v>6.2331767123287678</v>
      </c>
      <c r="E94" s="136">
        <f t="shared" si="23"/>
        <v>0.36207195267474224</v>
      </c>
      <c r="F94" s="166">
        <f t="shared" si="24"/>
        <v>73</v>
      </c>
      <c r="G94" s="137">
        <f>F94</f>
        <v>73</v>
      </c>
      <c r="H94" s="138">
        <f>IF(OR(B94&gt;E$5,F94&lt;1.5)," ",D94-E94*(TINV(0.05,(F94-1))))</f>
        <v>5.5113994661615475</v>
      </c>
      <c r="I94" s="139">
        <f>IF(OR(B94&gt;E$5,F94&lt;1.5)," ",D94+E94*(TINV(0.05,(F94-1))))</f>
        <v>6.9549539584959881</v>
      </c>
      <c r="J94" s="78">
        <f>MAX(E5-B94+1,0)</f>
        <v>4</v>
      </c>
      <c r="K94" s="222" t="str">
        <f t="shared" si="26"/>
        <v>D</v>
      </c>
      <c r="L94" s="223" t="str">
        <f t="shared" si="27"/>
        <v xml:space="preserve"> </v>
      </c>
      <c r="N94" s="339">
        <f t="shared" si="28"/>
        <v>0</v>
      </c>
    </row>
    <row r="95" spans="1:14" x14ac:dyDescent="0.25">
      <c r="A95" s="74"/>
      <c r="B95" s="60"/>
      <c r="C95" s="61"/>
      <c r="D95" s="62"/>
      <c r="E95" s="63"/>
      <c r="F95" s="61"/>
      <c r="G95" s="61"/>
      <c r="H95" s="59"/>
      <c r="I95" s="78"/>
    </row>
  </sheetData>
  <sheetProtection password="C550" sheet="1" objects="1" scenarios="1"/>
  <mergeCells count="2">
    <mergeCell ref="B22:H22"/>
    <mergeCell ref="B23:H23"/>
  </mergeCells>
  <phoneticPr fontId="0" type="noConversion"/>
  <conditionalFormatting sqref="B83:B94">
    <cfRule type="cellIs" dxfId="1" priority="1" stopIfTrue="1" operator="greaterThan">
      <formula>90</formula>
    </cfRule>
  </conditionalFormatting>
  <conditionalFormatting sqref="F83:F94">
    <cfRule type="cellIs" dxfId="0" priority="2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1"/>
  </sheetPr>
  <dimension ref="A1:R82"/>
  <sheetViews>
    <sheetView showGridLines="0" workbookViewId="0">
      <selection activeCell="J29" sqref="J29"/>
    </sheetView>
  </sheetViews>
  <sheetFormatPr defaultRowHeight="13.2" x14ac:dyDescent="0.25"/>
  <cols>
    <col min="1" max="1" width="2.6640625" customWidth="1"/>
    <col min="2" max="13" width="7.88671875" customWidth="1"/>
    <col min="14" max="14" width="2.88671875" customWidth="1"/>
    <col min="15" max="20" width="5.6640625" customWidth="1"/>
  </cols>
  <sheetData>
    <row r="1" spans="1:18" ht="13.8" thickBot="1" x14ac:dyDescent="0.3">
      <c r="A1" s="65" t="s">
        <v>61</v>
      </c>
      <c r="B1" s="6"/>
      <c r="C1" s="2"/>
      <c r="D1" s="2"/>
      <c r="E1" s="2"/>
      <c r="F1" s="2"/>
      <c r="G1" s="2"/>
      <c r="H1" s="2"/>
      <c r="I1" s="2"/>
      <c r="J1" s="6"/>
      <c r="K1" s="6"/>
      <c r="L1" s="6"/>
      <c r="M1" s="6"/>
      <c r="N1" s="6"/>
      <c r="O1" s="6"/>
      <c r="P1" s="7"/>
    </row>
    <row r="2" spans="1:18" x14ac:dyDescent="0.25">
      <c r="A2" s="122"/>
      <c r="B2" s="57"/>
      <c r="C2" s="122"/>
      <c r="D2" s="122"/>
      <c r="E2" s="122"/>
      <c r="F2" s="122"/>
      <c r="G2" s="122"/>
      <c r="H2" s="122"/>
      <c r="I2" s="122"/>
      <c r="J2" s="57"/>
      <c r="K2" s="57"/>
      <c r="L2" s="57"/>
      <c r="M2" s="57"/>
      <c r="N2" s="57"/>
      <c r="O2" s="57"/>
      <c r="P2" s="57"/>
      <c r="Q2" s="59"/>
      <c r="R2" s="59"/>
    </row>
    <row r="3" spans="1:18" x14ac:dyDescent="0.25">
      <c r="A3" s="122"/>
      <c r="B3" s="57"/>
      <c r="C3" s="118" t="s">
        <v>76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4"/>
    </row>
    <row r="4" spans="1:18" x14ac:dyDescent="0.25">
      <c r="A4" s="122"/>
      <c r="B4" s="57"/>
      <c r="C4" s="119" t="s">
        <v>77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4"/>
      <c r="R4" s="14"/>
    </row>
    <row r="5" spans="1:18" x14ac:dyDescent="0.25">
      <c r="A5" s="122"/>
      <c r="B5" s="57"/>
      <c r="C5" t="s">
        <v>73</v>
      </c>
      <c r="E5" s="11" t="s">
        <v>68</v>
      </c>
      <c r="G5" s="11" t="s">
        <v>69</v>
      </c>
      <c r="H5" s="11"/>
      <c r="I5" s="11" t="s">
        <v>74</v>
      </c>
      <c r="K5" s="11" t="s">
        <v>75</v>
      </c>
    </row>
    <row r="6" spans="1:18" x14ac:dyDescent="0.25">
      <c r="A6" s="122"/>
      <c r="B6" s="57"/>
      <c r="C6" s="119" t="s">
        <v>77</v>
      </c>
    </row>
    <row r="7" spans="1:18" x14ac:dyDescent="0.25">
      <c r="A7" s="122"/>
      <c r="B7" s="57"/>
      <c r="C7" t="s">
        <v>70</v>
      </c>
      <c r="E7" s="93">
        <f>IF(Input!M7=9,Frequencies!O57,E10-E8)</f>
        <v>37.09407210662242</v>
      </c>
      <c r="F7" s="93"/>
      <c r="G7" s="93">
        <f>G10-G8</f>
        <v>3</v>
      </c>
      <c r="I7" s="11">
        <f>E7/G7</f>
        <v>12.364690702207474</v>
      </c>
      <c r="K7" s="123">
        <f>I7/I8</f>
        <v>30.121074274554672</v>
      </c>
    </row>
    <row r="8" spans="1:18" ht="13.8" thickBot="1" x14ac:dyDescent="0.3">
      <c r="A8" s="122"/>
      <c r="B8" s="57"/>
      <c r="C8" t="s">
        <v>71</v>
      </c>
      <c r="E8" s="93">
        <f>IF(Input!M7=9,Frequencies!O54,SUM(Frequencies!C34:N34))</f>
        <v>98.930417689295965</v>
      </c>
      <c r="F8" s="93"/>
      <c r="G8" s="93">
        <f>IF(Input!M7=9,Frequencies!O55,SUM(Frequencies!C35:N35))</f>
        <v>241</v>
      </c>
      <c r="I8" s="117">
        <f>E8/G8</f>
        <v>0.41049965846180897</v>
      </c>
    </row>
    <row r="9" spans="1:18" ht="13.8" thickBot="1" x14ac:dyDescent="0.3">
      <c r="A9" s="122"/>
      <c r="B9" s="57"/>
      <c r="C9" s="120" t="s">
        <v>78</v>
      </c>
      <c r="E9" s="93"/>
      <c r="F9" s="93"/>
      <c r="G9" s="93"/>
      <c r="K9" s="121" t="s">
        <v>80</v>
      </c>
    </row>
    <row r="10" spans="1:18" x14ac:dyDescent="0.25">
      <c r="A10" s="122"/>
      <c r="B10" s="57"/>
      <c r="C10" t="s">
        <v>72</v>
      </c>
      <c r="E10" s="93">
        <f>IF(Input!M7=9,E7+E8,Frequencies!O34)</f>
        <v>136.02448979591838</v>
      </c>
      <c r="F10" s="93"/>
      <c r="G10" s="93">
        <f>IF(Input!M7=9,Input!P58-1,Frequencies!O35)</f>
        <v>244</v>
      </c>
      <c r="K10" s="270" t="str">
        <f>IF(FDIST(K$7,G$7,G$8)&lt;0.001,"",FDIST(K$7,G$7,G$8)   )</f>
        <v/>
      </c>
    </row>
    <row r="11" spans="1:18" ht="13.8" thickBot="1" x14ac:dyDescent="0.3">
      <c r="A11" s="122"/>
      <c r="B11" s="57"/>
      <c r="C11" s="120" t="s">
        <v>79</v>
      </c>
      <c r="K11" s="271">
        <f>IF(FDIST(K$7,G$7,G$8)&lt;0.001,FDIST(K$7,G$7,G$8),"  ")</f>
        <v>1.4230355242972217E-16</v>
      </c>
    </row>
    <row r="12" spans="1:18" ht="13.8" thickBot="1" x14ac:dyDescent="0.3">
      <c r="A12" s="122"/>
      <c r="B12" s="57"/>
      <c r="C12" t="s">
        <v>86</v>
      </c>
      <c r="E12" s="125" t="str">
        <f>IF(G7=(Input!F14-1),"OK","error !!!")</f>
        <v>OK</v>
      </c>
      <c r="F12" s="11" t="s">
        <v>87</v>
      </c>
      <c r="G12" s="127"/>
      <c r="H12" s="128" t="s">
        <v>90</v>
      </c>
      <c r="I12" s="206">
        <f>E7</f>
        <v>37.09407210662242</v>
      </c>
      <c r="L12" s="549">
        <f>Means!$E$5+0.1</f>
        <v>4.0999999999999996</v>
      </c>
    </row>
    <row r="13" spans="1:18" ht="13.8" thickBot="1" x14ac:dyDescent="0.3">
      <c r="A13" s="122"/>
      <c r="B13" s="57"/>
      <c r="G13" s="129"/>
      <c r="H13" s="130" t="s">
        <v>89</v>
      </c>
      <c r="I13" s="167">
        <f>IF(Input!M7=9,"no check",Frequencies!K44)</f>
        <v>37.09407210662242</v>
      </c>
    </row>
    <row r="14" spans="1:18" x14ac:dyDescent="0.25">
      <c r="A14" s="122"/>
      <c r="B14" s="57"/>
      <c r="C14" t="s">
        <v>132</v>
      </c>
      <c r="E14" s="10">
        <f>E7/E10</f>
        <v>0.2727014242970201</v>
      </c>
      <c r="J14" t="s">
        <v>91</v>
      </c>
      <c r="L14" s="29">
        <f>SQRT(I8)</f>
        <v>0.640702472651549</v>
      </c>
    </row>
    <row r="15" spans="1:18" x14ac:dyDescent="0.25">
      <c r="A15" s="122"/>
      <c r="B15" s="57"/>
    </row>
    <row r="16" spans="1:18" x14ac:dyDescent="0.25">
      <c r="A16" s="122"/>
      <c r="B16" s="57"/>
      <c r="C16" s="124" t="s">
        <v>121</v>
      </c>
    </row>
    <row r="17" spans="1:17" x14ac:dyDescent="0.25">
      <c r="A17" s="122"/>
      <c r="B17" s="57"/>
    </row>
    <row r="18" spans="1:17" x14ac:dyDescent="0.25">
      <c r="B18" s="8" t="s">
        <v>177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94"/>
    </row>
    <row r="19" spans="1:17" x14ac:dyDescent="0.25">
      <c r="B19" s="8" t="s">
        <v>81</v>
      </c>
      <c r="C19" s="8"/>
      <c r="D19" s="8"/>
      <c r="E19" s="8"/>
      <c r="F19" s="8"/>
      <c r="G19" s="126" t="s">
        <v>83</v>
      </c>
      <c r="H19" s="8"/>
      <c r="I19" s="8"/>
      <c r="J19" s="8"/>
      <c r="K19" s="8"/>
      <c r="L19" s="8" t="s">
        <v>82</v>
      </c>
      <c r="M19" s="94"/>
    </row>
    <row r="20" spans="1:17" x14ac:dyDescent="0.25">
      <c r="B20" s="8" t="s">
        <v>88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94"/>
    </row>
    <row r="21" spans="1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4"/>
    </row>
    <row r="22" spans="1:17" x14ac:dyDescent="0.25">
      <c r="A22" s="552"/>
      <c r="B22" s="551">
        <v>12</v>
      </c>
      <c r="C22" s="551">
        <v>11</v>
      </c>
      <c r="D22" s="551">
        <v>10</v>
      </c>
      <c r="E22" s="551">
        <v>9</v>
      </c>
      <c r="F22" s="551">
        <v>8</v>
      </c>
      <c r="G22" s="551">
        <v>7</v>
      </c>
      <c r="H22" s="551">
        <v>6</v>
      </c>
      <c r="I22" s="551">
        <v>5</v>
      </c>
      <c r="J22" s="551">
        <v>4</v>
      </c>
      <c r="K22" s="551">
        <v>3</v>
      </c>
      <c r="L22" s="551">
        <v>2</v>
      </c>
      <c r="M22" s="551">
        <v>1</v>
      </c>
    </row>
    <row r="23" spans="1:17" ht="13.8" thickBot="1" x14ac:dyDescent="0.3">
      <c r="A23" s="553"/>
      <c r="B23" s="85" t="str">
        <f>E49</f>
        <v xml:space="preserve"> </v>
      </c>
      <c r="C23" s="86" t="str">
        <f>E50</f>
        <v xml:space="preserve"> </v>
      </c>
      <c r="D23" s="86" t="str">
        <f>E51</f>
        <v xml:space="preserve"> </v>
      </c>
      <c r="E23" s="86" t="str">
        <f>E52</f>
        <v xml:space="preserve"> </v>
      </c>
      <c r="F23" s="86" t="str">
        <f>E53</f>
        <v xml:space="preserve"> </v>
      </c>
      <c r="G23" s="86" t="str">
        <f>+E54</f>
        <v xml:space="preserve"> </v>
      </c>
      <c r="H23" s="86" t="str">
        <f>E55</f>
        <v xml:space="preserve"> </v>
      </c>
      <c r="I23" s="86" t="str">
        <f>+E56</f>
        <v xml:space="preserve"> </v>
      </c>
      <c r="J23" s="86">
        <f>E57</f>
        <v>1.6159846153846149</v>
      </c>
      <c r="K23" s="86">
        <f>E58</f>
        <v>3.796796296296296</v>
      </c>
      <c r="L23" s="86">
        <f>E59</f>
        <v>6.132475471698112</v>
      </c>
      <c r="M23" s="87">
        <f>E60</f>
        <v>6.2331767123287678</v>
      </c>
      <c r="N23" t="s">
        <v>107</v>
      </c>
    </row>
    <row r="24" spans="1:17" x14ac:dyDescent="0.25">
      <c r="A24" s="554"/>
      <c r="B24" s="343" t="str">
        <f>IF(B$22&gt;$L$12,"   ",Means!$A83)</f>
        <v xml:space="preserve">   </v>
      </c>
      <c r="C24" s="344" t="str">
        <f>IF(C$22&gt;$L$12,"   ",Means!$A84)</f>
        <v xml:space="preserve">   </v>
      </c>
      <c r="D24" s="344" t="str">
        <f>IF(D$22&gt;$L$12,"   ",Means!$A85)</f>
        <v xml:space="preserve">   </v>
      </c>
      <c r="E24" s="344" t="str">
        <f>IF(E$22&gt;$L$12,"   ",Means!$A86)</f>
        <v xml:space="preserve">   </v>
      </c>
      <c r="F24" s="344" t="str">
        <f>IF(F$22&gt;$L$12,"   ",Means!$A87)</f>
        <v xml:space="preserve">   </v>
      </c>
      <c r="G24" s="344" t="str">
        <f>IF(G$22&gt;$L$12,"   ",Means!$A88)</f>
        <v xml:space="preserve">   </v>
      </c>
      <c r="H24" s="344" t="str">
        <f>IF(H$22&gt;$L$12,"   ",Means!$A89)</f>
        <v xml:space="preserve">   </v>
      </c>
      <c r="I24" s="344" t="str">
        <f>IF(I$22&gt;$L$12,"   ",Means!$A90)</f>
        <v xml:space="preserve">   </v>
      </c>
      <c r="J24" s="344" t="str">
        <f>IF(J$22&gt;$L$12,"   ",Means!$A91)</f>
        <v>A</v>
      </c>
      <c r="K24" s="344" t="str">
        <f>IF(K$22&gt;$L$12,"   ",Means!$A92)</f>
        <v>B</v>
      </c>
      <c r="L24" s="344" t="str">
        <f>IF(L$22&gt;$L$12,"   ",Means!$A93)</f>
        <v>C</v>
      </c>
      <c r="M24" s="345" t="str">
        <f>IF(M$22&gt;$L$12,"   ",Means!$A94)</f>
        <v>D</v>
      </c>
      <c r="N24" t="s">
        <v>108</v>
      </c>
    </row>
    <row r="25" spans="1:17" ht="13.8" thickBot="1" x14ac:dyDescent="0.3">
      <c r="A25" s="555"/>
      <c r="B25" s="346" t="str">
        <f>IF(B$22&gt;$L$12,"   ",Means!$C83)</f>
        <v xml:space="preserve">   </v>
      </c>
      <c r="C25" s="347" t="str">
        <f>IF(C$22&gt;$L$12,"   ",Means!$C84)</f>
        <v xml:space="preserve">   </v>
      </c>
      <c r="D25" s="347" t="str">
        <f>IF(D$22&gt;$L$12,"   ",Means!$C85)</f>
        <v xml:space="preserve">   </v>
      </c>
      <c r="E25" s="347" t="str">
        <f>IF(E$22&gt;$L$12,"   ",Means!$C86)</f>
        <v xml:space="preserve">   </v>
      </c>
      <c r="F25" s="347" t="str">
        <f>IF(F$22&gt;$L$12,"   ",Means!$C87)</f>
        <v xml:space="preserve">   </v>
      </c>
      <c r="G25" s="347" t="str">
        <f>IF(G$22&gt;$L$12,"   ",Means!$C88)</f>
        <v xml:space="preserve">   </v>
      </c>
      <c r="H25" s="347" t="str">
        <f>IF(H$22&gt;$L$12,"   ",Means!$C89)</f>
        <v xml:space="preserve">   </v>
      </c>
      <c r="I25" s="347" t="str">
        <f>IF(I$22&gt;$L$12,"   ",Means!$C90)</f>
        <v xml:space="preserve">   </v>
      </c>
      <c r="J25" s="347">
        <f>IF(J$22&gt;$L$12,"   ",Means!$C91)</f>
        <v>1</v>
      </c>
      <c r="K25" s="347">
        <f>IF(K$22&gt;$L$12,"   ",Means!$C92)</f>
        <v>2</v>
      </c>
      <c r="L25" s="347">
        <f>IF(L$22&gt;$L$12,"   ",Means!$C93)</f>
        <v>3</v>
      </c>
      <c r="M25" s="348">
        <f>IF(M$22&gt;$L$12,"   ",Means!$C94)</f>
        <v>4</v>
      </c>
      <c r="O25" s="557"/>
      <c r="P25" s="557"/>
      <c r="Q25" s="557"/>
    </row>
    <row r="26" spans="1:17" x14ac:dyDescent="0.25">
      <c r="A26" s="556">
        <v>1</v>
      </c>
      <c r="B26" s="109" t="str">
        <f>IF(OR(B$22&gt;$F$42,$A26&gt;$F$42,$A26&gt;B$22),"X",IF(OR(B$22=$A26,$O26-B$23&lt;B65),"-------------"," "))</f>
        <v>X</v>
      </c>
      <c r="C26" s="110" t="str">
        <f t="shared" ref="C26:M26" si="0">IF(OR(C$22&gt;$F$42,$A26&gt;$F$42,$A26&gt;C$22),"X",IF(OR(C$22=$A26,$O26-C$23&lt;C65),"-------------"," "))</f>
        <v>X</v>
      </c>
      <c r="D26" s="110" t="str">
        <f t="shared" si="0"/>
        <v>X</v>
      </c>
      <c r="E26" s="110" t="str">
        <f t="shared" si="0"/>
        <v>X</v>
      </c>
      <c r="F26" s="110" t="str">
        <f t="shared" si="0"/>
        <v>X</v>
      </c>
      <c r="G26" s="110" t="str">
        <f t="shared" si="0"/>
        <v>X</v>
      </c>
      <c r="H26" s="110" t="str">
        <f t="shared" si="0"/>
        <v>X</v>
      </c>
      <c r="I26" s="110" t="str">
        <f t="shared" si="0"/>
        <v>X</v>
      </c>
      <c r="J26" s="110" t="str">
        <f t="shared" si="0"/>
        <v xml:space="preserve"> </v>
      </c>
      <c r="K26" s="110" t="str">
        <f t="shared" si="0"/>
        <v xml:space="preserve"> </v>
      </c>
      <c r="L26" s="110" t="str">
        <f t="shared" si="0"/>
        <v>-------------</v>
      </c>
      <c r="M26" s="229" t="str">
        <f t="shared" si="0"/>
        <v>-------------</v>
      </c>
      <c r="N26" s="349">
        <f>C60</f>
        <v>4</v>
      </c>
      <c r="O26" s="560">
        <f>M23</f>
        <v>6.2331767123287678</v>
      </c>
      <c r="P26" s="557"/>
      <c r="Q26" s="557"/>
    </row>
    <row r="27" spans="1:17" x14ac:dyDescent="0.25">
      <c r="A27" s="556">
        <v>2</v>
      </c>
      <c r="B27" s="111" t="str">
        <f t="shared" ref="B27:L37" si="1">IF(OR(B$22&gt;$F$42,$A27&gt;$F$42,$A27&gt;B$22),"X",IF(OR(B$22=$A27,$O27-B$23&lt;B66),"-------------"," "))</f>
        <v>X</v>
      </c>
      <c r="C27" s="108" t="str">
        <f t="shared" si="1"/>
        <v>X</v>
      </c>
      <c r="D27" s="108" t="str">
        <f t="shared" si="1"/>
        <v>X</v>
      </c>
      <c r="E27" s="108" t="str">
        <f t="shared" si="1"/>
        <v>X</v>
      </c>
      <c r="F27" s="108" t="str">
        <f t="shared" si="1"/>
        <v>X</v>
      </c>
      <c r="G27" s="108" t="str">
        <f t="shared" si="1"/>
        <v>X</v>
      </c>
      <c r="H27" s="108" t="str">
        <f t="shared" si="1"/>
        <v>X</v>
      </c>
      <c r="I27" s="108" t="str">
        <f t="shared" si="1"/>
        <v>X</v>
      </c>
      <c r="J27" s="108" t="str">
        <f t="shared" si="1"/>
        <v xml:space="preserve"> </v>
      </c>
      <c r="K27" s="108" t="str">
        <f t="shared" si="1"/>
        <v xml:space="preserve"> </v>
      </c>
      <c r="L27" s="108" t="str">
        <f t="shared" si="1"/>
        <v>-------------</v>
      </c>
      <c r="M27" s="246">
        <v>0</v>
      </c>
      <c r="N27" s="350">
        <f>C59</f>
        <v>3</v>
      </c>
      <c r="O27" s="560">
        <f>L23</f>
        <v>6.132475471698112</v>
      </c>
      <c r="P27" s="557"/>
      <c r="Q27" s="557"/>
    </row>
    <row r="28" spans="1:17" x14ac:dyDescent="0.25">
      <c r="A28" s="556">
        <v>3</v>
      </c>
      <c r="B28" s="111" t="str">
        <f t="shared" si="1"/>
        <v>X</v>
      </c>
      <c r="C28" s="108" t="str">
        <f t="shared" si="1"/>
        <v>X</v>
      </c>
      <c r="D28" s="108" t="str">
        <f t="shared" si="1"/>
        <v>X</v>
      </c>
      <c r="E28" s="108" t="str">
        <f t="shared" si="1"/>
        <v>X</v>
      </c>
      <c r="F28" s="108" t="str">
        <f t="shared" si="1"/>
        <v>X</v>
      </c>
      <c r="G28" s="108" t="str">
        <f t="shared" si="1"/>
        <v>X</v>
      </c>
      <c r="H28" s="108" t="str">
        <f t="shared" si="1"/>
        <v>X</v>
      </c>
      <c r="I28" s="108" t="str">
        <f t="shared" si="1"/>
        <v>X</v>
      </c>
      <c r="J28" s="108" t="str">
        <f t="shared" si="1"/>
        <v xml:space="preserve"> </v>
      </c>
      <c r="K28" s="108" t="str">
        <f t="shared" si="1"/>
        <v>-------------</v>
      </c>
      <c r="L28" s="245">
        <v>0</v>
      </c>
      <c r="M28" s="114"/>
      <c r="N28" s="350">
        <f>C58</f>
        <v>2</v>
      </c>
      <c r="O28" s="560">
        <f>K23</f>
        <v>3.796796296296296</v>
      </c>
      <c r="P28" s="557"/>
      <c r="Q28" s="557"/>
    </row>
    <row r="29" spans="1:17" x14ac:dyDescent="0.25">
      <c r="A29" s="556">
        <v>4</v>
      </c>
      <c r="B29" s="111" t="str">
        <f t="shared" si="1"/>
        <v>X</v>
      </c>
      <c r="C29" s="108" t="str">
        <f t="shared" si="1"/>
        <v>X</v>
      </c>
      <c r="D29" s="108" t="str">
        <f t="shared" si="1"/>
        <v>X</v>
      </c>
      <c r="E29" s="108" t="str">
        <f t="shared" si="1"/>
        <v>X</v>
      </c>
      <c r="F29" s="108" t="str">
        <f t="shared" si="1"/>
        <v>X</v>
      </c>
      <c r="G29" s="108" t="str">
        <f t="shared" si="1"/>
        <v>X</v>
      </c>
      <c r="H29" s="108" t="str">
        <f t="shared" si="1"/>
        <v>X</v>
      </c>
      <c r="I29" s="108" t="str">
        <f t="shared" si="1"/>
        <v>X</v>
      </c>
      <c r="J29" s="108" t="str">
        <f t="shared" si="1"/>
        <v>-------------</v>
      </c>
      <c r="K29" s="245">
        <v>0</v>
      </c>
      <c r="L29" s="115"/>
      <c r="M29" s="114"/>
      <c r="N29" s="350">
        <f>C57</f>
        <v>1</v>
      </c>
      <c r="O29" s="560">
        <f>J23</f>
        <v>1.6159846153846149</v>
      </c>
      <c r="P29" s="557"/>
      <c r="Q29" s="557"/>
    </row>
    <row r="30" spans="1:17" x14ac:dyDescent="0.25">
      <c r="A30" s="556">
        <v>5</v>
      </c>
      <c r="B30" s="111" t="str">
        <f t="shared" si="1"/>
        <v>X</v>
      </c>
      <c r="C30" s="108" t="str">
        <f t="shared" si="1"/>
        <v>X</v>
      </c>
      <c r="D30" s="108" t="str">
        <f t="shared" si="1"/>
        <v>X</v>
      </c>
      <c r="E30" s="108" t="str">
        <f t="shared" si="1"/>
        <v>X</v>
      </c>
      <c r="F30" s="108" t="str">
        <f t="shared" si="1"/>
        <v>X</v>
      </c>
      <c r="G30" s="108" t="str">
        <f t="shared" si="1"/>
        <v>X</v>
      </c>
      <c r="H30" s="108" t="str">
        <f t="shared" si="1"/>
        <v>X</v>
      </c>
      <c r="I30" s="108" t="str">
        <f t="shared" si="1"/>
        <v>X</v>
      </c>
      <c r="J30" s="245">
        <v>0</v>
      </c>
      <c r="K30" s="115"/>
      <c r="L30" s="115"/>
      <c r="M30" s="114"/>
      <c r="N30" s="350" t="str">
        <f>C56</f>
        <v xml:space="preserve"> </v>
      </c>
      <c r="O30" s="560" t="str">
        <f>I23</f>
        <v xml:space="preserve"> </v>
      </c>
      <c r="P30" s="557"/>
      <c r="Q30" s="557"/>
    </row>
    <row r="31" spans="1:17" x14ac:dyDescent="0.25">
      <c r="A31" s="556">
        <v>6</v>
      </c>
      <c r="B31" s="111" t="str">
        <f t="shared" si="1"/>
        <v>X</v>
      </c>
      <c r="C31" s="108" t="str">
        <f t="shared" si="1"/>
        <v>X</v>
      </c>
      <c r="D31" s="108" t="str">
        <f t="shared" si="1"/>
        <v>X</v>
      </c>
      <c r="E31" s="108" t="str">
        <f t="shared" si="1"/>
        <v>X</v>
      </c>
      <c r="F31" s="108" t="str">
        <f t="shared" si="1"/>
        <v>X</v>
      </c>
      <c r="G31" s="108" t="str">
        <f t="shared" si="1"/>
        <v>X</v>
      </c>
      <c r="H31" s="108" t="str">
        <f t="shared" si="1"/>
        <v>X</v>
      </c>
      <c r="I31" s="245">
        <v>0</v>
      </c>
      <c r="J31" s="115"/>
      <c r="K31" s="115"/>
      <c r="L31" s="115"/>
      <c r="M31" s="114"/>
      <c r="N31" s="350" t="str">
        <f>C55</f>
        <v xml:space="preserve"> </v>
      </c>
      <c r="O31" s="560" t="str">
        <f>H23</f>
        <v xml:space="preserve"> </v>
      </c>
      <c r="P31" s="557"/>
      <c r="Q31" s="557"/>
    </row>
    <row r="32" spans="1:17" x14ac:dyDescent="0.25">
      <c r="A32" s="556">
        <v>7</v>
      </c>
      <c r="B32" s="111" t="str">
        <f t="shared" si="1"/>
        <v>X</v>
      </c>
      <c r="C32" s="108" t="str">
        <f t="shared" si="1"/>
        <v>X</v>
      </c>
      <c r="D32" s="108" t="str">
        <f t="shared" si="1"/>
        <v>X</v>
      </c>
      <c r="E32" s="108" t="str">
        <f t="shared" si="1"/>
        <v>X</v>
      </c>
      <c r="F32" s="108" t="str">
        <f t="shared" si="1"/>
        <v>X</v>
      </c>
      <c r="G32" s="108" t="str">
        <f t="shared" si="1"/>
        <v>X</v>
      </c>
      <c r="H32" s="245">
        <v>0</v>
      </c>
      <c r="I32" s="115"/>
      <c r="J32" s="115"/>
      <c r="K32" s="115"/>
      <c r="L32" s="115"/>
      <c r="M32" s="114"/>
      <c r="N32" s="350" t="str">
        <f>C54</f>
        <v xml:space="preserve"> </v>
      </c>
      <c r="O32" s="560" t="str">
        <f>G23</f>
        <v xml:space="preserve"> </v>
      </c>
      <c r="P32" s="557"/>
      <c r="Q32" s="557"/>
    </row>
    <row r="33" spans="1:17" x14ac:dyDescent="0.25">
      <c r="A33" s="556">
        <v>8</v>
      </c>
      <c r="B33" s="111" t="str">
        <f t="shared" si="1"/>
        <v>X</v>
      </c>
      <c r="C33" s="108" t="str">
        <f t="shared" si="1"/>
        <v>X</v>
      </c>
      <c r="D33" s="108" t="str">
        <f t="shared" si="1"/>
        <v>X</v>
      </c>
      <c r="E33" s="108" t="str">
        <f t="shared" si="1"/>
        <v>X</v>
      </c>
      <c r="F33" s="108" t="str">
        <f t="shared" si="1"/>
        <v>X</v>
      </c>
      <c r="G33" s="245">
        <v>0</v>
      </c>
      <c r="H33" s="115"/>
      <c r="I33" s="115"/>
      <c r="J33" s="115"/>
      <c r="K33" s="115"/>
      <c r="L33" s="115"/>
      <c r="M33" s="114"/>
      <c r="N33" s="350" t="str">
        <f>C53</f>
        <v xml:space="preserve"> </v>
      </c>
      <c r="O33" s="560" t="str">
        <f>F23</f>
        <v xml:space="preserve"> </v>
      </c>
      <c r="P33" s="557"/>
      <c r="Q33" s="557"/>
    </row>
    <row r="34" spans="1:17" x14ac:dyDescent="0.25">
      <c r="A34" s="556">
        <v>9</v>
      </c>
      <c r="B34" s="111" t="str">
        <f t="shared" si="1"/>
        <v>X</v>
      </c>
      <c r="C34" s="108" t="str">
        <f t="shared" si="1"/>
        <v>X</v>
      </c>
      <c r="D34" s="108" t="str">
        <f t="shared" si="1"/>
        <v>X</v>
      </c>
      <c r="E34" s="108" t="str">
        <f t="shared" si="1"/>
        <v>X</v>
      </c>
      <c r="F34" s="245">
        <v>0</v>
      </c>
      <c r="G34" s="115"/>
      <c r="H34" s="115"/>
      <c r="I34" s="115"/>
      <c r="J34" s="115"/>
      <c r="K34" s="115"/>
      <c r="L34" s="115"/>
      <c r="M34" s="114"/>
      <c r="N34" s="350" t="str">
        <f>C52</f>
        <v xml:space="preserve"> </v>
      </c>
      <c r="O34" s="560" t="str">
        <f>E23</f>
        <v xml:space="preserve"> </v>
      </c>
      <c r="P34" s="557"/>
      <c r="Q34" s="557"/>
    </row>
    <row r="35" spans="1:17" x14ac:dyDescent="0.25">
      <c r="A35" s="556">
        <v>10</v>
      </c>
      <c r="B35" s="111" t="str">
        <f t="shared" si="1"/>
        <v>X</v>
      </c>
      <c r="C35" s="108" t="str">
        <f t="shared" si="1"/>
        <v>X</v>
      </c>
      <c r="D35" s="108" t="str">
        <f t="shared" si="1"/>
        <v>X</v>
      </c>
      <c r="E35" s="245">
        <v>0</v>
      </c>
      <c r="F35" s="115"/>
      <c r="G35" s="115"/>
      <c r="H35" s="115"/>
      <c r="I35" s="115"/>
      <c r="J35" s="115"/>
      <c r="K35" s="115"/>
      <c r="L35" s="115"/>
      <c r="M35" s="114"/>
      <c r="N35" s="350" t="str">
        <f>C51</f>
        <v xml:space="preserve"> </v>
      </c>
      <c r="O35" s="560" t="str">
        <f>D23</f>
        <v xml:space="preserve"> </v>
      </c>
      <c r="P35" s="557"/>
      <c r="Q35" s="557"/>
    </row>
    <row r="36" spans="1:17" x14ac:dyDescent="0.25">
      <c r="A36" s="556">
        <v>11</v>
      </c>
      <c r="B36" s="111" t="str">
        <f t="shared" si="1"/>
        <v>X</v>
      </c>
      <c r="C36" s="108" t="str">
        <f t="shared" si="1"/>
        <v>X</v>
      </c>
      <c r="D36" s="245">
        <v>0</v>
      </c>
      <c r="E36" s="115"/>
      <c r="F36" s="115"/>
      <c r="G36" s="115"/>
      <c r="H36" s="115"/>
      <c r="I36" s="115"/>
      <c r="J36" s="115"/>
      <c r="K36" s="115"/>
      <c r="L36" s="115"/>
      <c r="M36" s="114"/>
      <c r="N36" s="351" t="str">
        <f>C50</f>
        <v xml:space="preserve"> </v>
      </c>
      <c r="O36" s="560" t="str">
        <f>C23</f>
        <v xml:space="preserve"> </v>
      </c>
      <c r="P36" s="557"/>
      <c r="Q36" s="557"/>
    </row>
    <row r="37" spans="1:17" ht="13.8" thickBot="1" x14ac:dyDescent="0.3">
      <c r="A37" s="556">
        <v>12</v>
      </c>
      <c r="B37" s="112" t="str">
        <f t="shared" si="1"/>
        <v>X</v>
      </c>
      <c r="C37" s="247">
        <v>0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6"/>
      <c r="N37" s="352" t="str">
        <f>C49</f>
        <v xml:space="preserve"> </v>
      </c>
      <c r="O37" s="560" t="str">
        <f>B23</f>
        <v xml:space="preserve"> </v>
      </c>
      <c r="P37" s="557"/>
      <c r="Q37" s="557"/>
    </row>
    <row r="38" spans="1:17" x14ac:dyDescent="0.25">
      <c r="A38" s="231"/>
      <c r="B38" s="558">
        <v>12</v>
      </c>
      <c r="C38" s="558">
        <v>11</v>
      </c>
      <c r="D38" s="558">
        <v>10</v>
      </c>
      <c r="E38" s="558">
        <v>9</v>
      </c>
      <c r="F38" s="558">
        <v>8</v>
      </c>
      <c r="G38" s="558">
        <v>7</v>
      </c>
      <c r="H38" s="558">
        <v>6</v>
      </c>
      <c r="I38" s="558">
        <v>5</v>
      </c>
      <c r="J38" s="558">
        <v>4</v>
      </c>
      <c r="K38" s="558">
        <v>3</v>
      </c>
      <c r="L38" s="558">
        <v>2</v>
      </c>
      <c r="M38" s="558">
        <v>1</v>
      </c>
      <c r="N38" s="559"/>
      <c r="O38" s="559"/>
    </row>
    <row r="39" spans="1:17" ht="13.8" thickBot="1" x14ac:dyDescent="0.3"/>
    <row r="40" spans="1:17" ht="13.8" thickBot="1" x14ac:dyDescent="0.3">
      <c r="B40" t="s">
        <v>3</v>
      </c>
      <c r="F40" s="96">
        <f>MAX(H49:H60)</f>
        <v>245</v>
      </c>
      <c r="H40" t="s">
        <v>36</v>
      </c>
    </row>
    <row r="41" spans="1:17" ht="13.8" thickBot="1" x14ac:dyDescent="0.3">
      <c r="F41" s="95"/>
      <c r="H41" t="s">
        <v>37</v>
      </c>
      <c r="K41" s="97">
        <f>Input!F8</f>
        <v>3</v>
      </c>
    </row>
    <row r="42" spans="1:17" ht="13.8" thickBot="1" x14ac:dyDescent="0.3">
      <c r="B42" t="s">
        <v>44</v>
      </c>
      <c r="F42" s="96">
        <f>Input!F14+0.001</f>
        <v>4.0010000000000003</v>
      </c>
      <c r="H42" t="s">
        <v>38</v>
      </c>
      <c r="K42" s="98">
        <f>Input!F9</f>
        <v>1</v>
      </c>
    </row>
    <row r="43" spans="1:17" ht="13.8" thickBot="1" x14ac:dyDescent="0.3">
      <c r="B43" t="s">
        <v>261</v>
      </c>
      <c r="H43" t="s">
        <v>45</v>
      </c>
      <c r="K43" s="99">
        <f>K41-K42+1</f>
        <v>3</v>
      </c>
    </row>
    <row r="44" spans="1:17" x14ac:dyDescent="0.25">
      <c r="F44" s="8"/>
    </row>
    <row r="45" spans="1:17" ht="13.8" thickBot="1" x14ac:dyDescent="0.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7" ht="13.8" thickBot="1" x14ac:dyDescent="0.3">
      <c r="B46" s="79"/>
      <c r="C46" s="81" t="s">
        <v>58</v>
      </c>
      <c r="D46" s="51"/>
      <c r="E46" s="52"/>
      <c r="F46" s="53"/>
      <c r="G46" s="51"/>
      <c r="H46" s="51"/>
      <c r="I46" s="4"/>
      <c r="J46" s="80"/>
      <c r="K46" s="5"/>
      <c r="L46" s="5"/>
      <c r="M46" s="5"/>
      <c r="N46" s="5"/>
      <c r="O46" s="5"/>
      <c r="P46" s="5"/>
    </row>
    <row r="47" spans="1:17" x14ac:dyDescent="0.25">
      <c r="B47" s="82"/>
      <c r="C47" s="225" t="s">
        <v>154</v>
      </c>
      <c r="D47" s="226"/>
      <c r="E47" s="36" t="s">
        <v>24</v>
      </c>
      <c r="F47" s="21" t="s">
        <v>26</v>
      </c>
      <c r="G47" s="83" t="s">
        <v>33</v>
      </c>
      <c r="H47" s="21" t="s">
        <v>54</v>
      </c>
      <c r="I47" s="155" t="s">
        <v>30</v>
      </c>
      <c r="J47" s="156"/>
      <c r="K47" s="153" t="s">
        <v>110</v>
      </c>
      <c r="L47" s="5"/>
      <c r="M47" s="5"/>
      <c r="N47" s="5"/>
      <c r="O47" s="5"/>
      <c r="P47" s="5"/>
    </row>
    <row r="48" spans="1:17" ht="13.8" thickBot="1" x14ac:dyDescent="0.3">
      <c r="B48" s="76" t="s">
        <v>57</v>
      </c>
      <c r="C48" s="154" t="s">
        <v>109</v>
      </c>
      <c r="D48" s="154" t="s">
        <v>155</v>
      </c>
      <c r="E48" s="37" t="s">
        <v>25</v>
      </c>
      <c r="F48" s="23" t="s">
        <v>27</v>
      </c>
      <c r="G48" s="70" t="s">
        <v>34</v>
      </c>
      <c r="H48" s="23" t="s">
        <v>55</v>
      </c>
      <c r="I48" s="19" t="s">
        <v>28</v>
      </c>
      <c r="J48" s="84" t="s">
        <v>29</v>
      </c>
      <c r="K48" s="157" t="s">
        <v>111</v>
      </c>
      <c r="L48" s="5"/>
      <c r="M48" s="5"/>
      <c r="N48" s="5"/>
      <c r="O48" s="5"/>
      <c r="P48" s="5"/>
    </row>
    <row r="49" spans="2:16" x14ac:dyDescent="0.25">
      <c r="B49" s="248" t="str">
        <f>IF(Means!$B83&gt;$F$42," ",Means!B83)</f>
        <v xml:space="preserve"> </v>
      </c>
      <c r="C49" s="353" t="str">
        <f>IF(Means!$B83&gt;$F$42," ",Means!C83)</f>
        <v xml:space="preserve"> </v>
      </c>
      <c r="D49" s="354" t="str">
        <f>IF(Means!$C83&gt;$L$12," ",IF(Means!$C83&lt;7,Means!K83,Means!L83))</f>
        <v xml:space="preserve"> </v>
      </c>
      <c r="E49" s="249" t="str">
        <f>IF(Means!$B83&gt;$F$42," ",Means!D83)</f>
        <v xml:space="preserve"> </v>
      </c>
      <c r="F49" s="250" t="str">
        <f>IF(Means!$B83&gt;$F$42," ",Means!E83)</f>
        <v xml:space="preserve"> </v>
      </c>
      <c r="G49" s="251" t="str">
        <f>IF(Means!$B83&gt;$F$42," ",Means!F83)</f>
        <v xml:space="preserve"> </v>
      </c>
      <c r="H49" s="251" t="str">
        <f>IF(Means!$B83&gt;$F$42," ",Means!G83)</f>
        <v xml:space="preserve"> </v>
      </c>
      <c r="I49" s="249" t="str">
        <f>IF(Means!$B83&gt;$F$42," ",Means!H83)</f>
        <v xml:space="preserve"> </v>
      </c>
      <c r="J49" s="249" t="str">
        <f>IF(Means!$B83&gt;$F$42," ",Means!I83)</f>
        <v xml:space="preserve"> </v>
      </c>
      <c r="K49" s="248" t="str">
        <f>IF(Means!$B83&gt;$F$42," ",Means!J83)</f>
        <v xml:space="preserve"> </v>
      </c>
      <c r="N49" s="5"/>
      <c r="O49" s="5"/>
      <c r="P49" s="5"/>
    </row>
    <row r="50" spans="2:16" x14ac:dyDescent="0.25">
      <c r="B50" s="252" t="str">
        <f>IF(Means!$B84&gt;$F$42," ",Means!B84)</f>
        <v xml:space="preserve"> </v>
      </c>
      <c r="C50" s="355" t="str">
        <f>IF(Means!$B84&gt;$F$42," ",Means!C84)</f>
        <v xml:space="preserve"> </v>
      </c>
      <c r="D50" s="356" t="str">
        <f>IF(Means!$C84&gt;$L$12," ",IF(Means!$C84&lt;7,Means!K84,Means!L84))</f>
        <v xml:space="preserve"> </v>
      </c>
      <c r="E50" s="253" t="str">
        <f>IF(Means!$B84&gt;$F$42," ",Means!D84)</f>
        <v xml:space="preserve"> </v>
      </c>
      <c r="F50" s="254" t="str">
        <f>IF(Means!$B84&gt;$F$42," ",Means!E84)</f>
        <v xml:space="preserve"> </v>
      </c>
      <c r="G50" s="255" t="str">
        <f>IF(Means!$B84&gt;$F$42," ",Means!F84)</f>
        <v xml:space="preserve"> </v>
      </c>
      <c r="H50" s="255" t="str">
        <f>IF(Means!$B84&gt;$F$42," ",Means!G84)</f>
        <v xml:space="preserve"> </v>
      </c>
      <c r="I50" s="253" t="str">
        <f>IF(Means!$B84&gt;$F$42," ",Means!H84)</f>
        <v xml:space="preserve"> </v>
      </c>
      <c r="J50" s="253" t="str">
        <f>IF(Means!$B84&gt;$F$42," ",Means!I84)</f>
        <v xml:space="preserve"> </v>
      </c>
      <c r="K50" s="252" t="str">
        <f>IF(Means!$B84&gt;$F$42," ",Means!J84)</f>
        <v xml:space="preserve"> </v>
      </c>
      <c r="N50" s="5"/>
      <c r="O50" s="5"/>
      <c r="P50" s="5"/>
    </row>
    <row r="51" spans="2:16" x14ac:dyDescent="0.25">
      <c r="B51" s="252" t="str">
        <f>IF(Means!$B85&gt;$F$42," ",Means!B85)</f>
        <v xml:space="preserve"> </v>
      </c>
      <c r="C51" s="355" t="str">
        <f>IF(Means!$B85&gt;$F$42," ",Means!C85)</f>
        <v xml:space="preserve"> </v>
      </c>
      <c r="D51" s="356" t="str">
        <f>IF(Means!$C85&gt;$L$12," ",IF(Means!$C85&lt;7,Means!K85,Means!L85))</f>
        <v xml:space="preserve"> </v>
      </c>
      <c r="E51" s="253" t="str">
        <f>IF(Means!$B85&gt;$F$42," ",Means!D85)</f>
        <v xml:space="preserve"> </v>
      </c>
      <c r="F51" s="254" t="str">
        <f>IF(Means!$B85&gt;$F$42," ",Means!E85)</f>
        <v xml:space="preserve"> </v>
      </c>
      <c r="G51" s="255" t="str">
        <f>IF(Means!$B85&gt;$F$42," ",Means!F85)</f>
        <v xml:space="preserve"> </v>
      </c>
      <c r="H51" s="255" t="str">
        <f>IF(Means!$B85&gt;$F$42," ",Means!G85)</f>
        <v xml:space="preserve"> </v>
      </c>
      <c r="I51" s="253" t="str">
        <f>IF(Means!$B85&gt;$F$42," ",Means!H85)</f>
        <v xml:space="preserve"> </v>
      </c>
      <c r="J51" s="253" t="str">
        <f>IF(Means!$B85&gt;$F$42," ",Means!I85)</f>
        <v xml:space="preserve"> </v>
      </c>
      <c r="K51" s="252" t="str">
        <f>IF(Means!$B85&gt;$F$42," ",Means!J85)</f>
        <v xml:space="preserve"> </v>
      </c>
      <c r="N51" s="5"/>
      <c r="O51" s="5"/>
      <c r="P51" s="5"/>
    </row>
    <row r="52" spans="2:16" x14ac:dyDescent="0.25">
      <c r="B52" s="252" t="str">
        <f>IF(Means!$B86&gt;$F$42," ",Means!B86)</f>
        <v xml:space="preserve"> </v>
      </c>
      <c r="C52" s="355" t="str">
        <f>IF(Means!$B86&gt;$F$42," ",Means!C86)</f>
        <v xml:space="preserve"> </v>
      </c>
      <c r="D52" s="356" t="str">
        <f>IF(Means!$C86&gt;$L$12," ",IF(Means!$C86&lt;7,Means!K86,Means!L86))</f>
        <v xml:space="preserve"> </v>
      </c>
      <c r="E52" s="253" t="str">
        <f>IF(Means!$B86&gt;$F$42," ",Means!D86)</f>
        <v xml:space="preserve"> </v>
      </c>
      <c r="F52" s="254" t="str">
        <f>IF(Means!$B86&gt;$F$42," ",Means!E86)</f>
        <v xml:space="preserve"> </v>
      </c>
      <c r="G52" s="255" t="str">
        <f>IF(Means!$B86&gt;$F$42," ",Means!F86)</f>
        <v xml:space="preserve"> </v>
      </c>
      <c r="H52" s="255" t="str">
        <f>IF(Means!$B86&gt;$F$42," ",Means!G86)</f>
        <v xml:space="preserve"> </v>
      </c>
      <c r="I52" s="253" t="str">
        <f>IF(Means!$B86&gt;$F$42," ",Means!H86)</f>
        <v xml:space="preserve"> </v>
      </c>
      <c r="J52" s="253" t="str">
        <f>IF(Means!$B86&gt;$F$42," ",Means!I86)</f>
        <v xml:space="preserve"> </v>
      </c>
      <c r="K52" s="252" t="str">
        <f>IF(Means!$B86&gt;$F$42," ",Means!J86)</f>
        <v xml:space="preserve"> </v>
      </c>
      <c r="N52" s="5"/>
      <c r="O52" s="5"/>
      <c r="P52" s="5"/>
    </row>
    <row r="53" spans="2:16" x14ac:dyDescent="0.25">
      <c r="B53" s="252" t="str">
        <f>IF(Means!$B87&gt;$F$42," ",Means!B87)</f>
        <v xml:space="preserve"> </v>
      </c>
      <c r="C53" s="355" t="str">
        <f>IF(Means!$B87&gt;$F$42," ",Means!C87)</f>
        <v xml:space="preserve"> </v>
      </c>
      <c r="D53" s="356" t="str">
        <f>IF(Means!$C87&gt;$L$12," ",IF(Means!$C87&lt;7,Means!K87,Means!L87))</f>
        <v xml:space="preserve"> </v>
      </c>
      <c r="E53" s="253" t="str">
        <f>IF(Means!$B87&gt;$F$42," ",Means!D87)</f>
        <v xml:space="preserve"> </v>
      </c>
      <c r="F53" s="254" t="str">
        <f>IF(Means!$B87&gt;$F$42," ",Means!E87)</f>
        <v xml:space="preserve"> </v>
      </c>
      <c r="G53" s="255" t="str">
        <f>IF(Means!$B87&gt;$F$42," ",Means!F87)</f>
        <v xml:space="preserve"> </v>
      </c>
      <c r="H53" s="255" t="str">
        <f>IF(Means!$B87&gt;$F$42," ",Means!G87)</f>
        <v xml:space="preserve"> </v>
      </c>
      <c r="I53" s="253" t="str">
        <f>IF(Means!$B87&gt;$F$42," ",Means!H87)</f>
        <v xml:space="preserve"> </v>
      </c>
      <c r="J53" s="253" t="str">
        <f>IF(Means!$B87&gt;$F$42," ",Means!I87)</f>
        <v xml:space="preserve"> </v>
      </c>
      <c r="K53" s="252" t="str">
        <f>IF(Means!$B87&gt;$F$42," ",Means!J87)</f>
        <v xml:space="preserve"> </v>
      </c>
      <c r="N53" s="5"/>
      <c r="O53" s="5"/>
      <c r="P53" s="5"/>
    </row>
    <row r="54" spans="2:16" x14ac:dyDescent="0.25">
      <c r="B54" s="252" t="str">
        <f>IF(Means!$B88&gt;$F$42," ",Means!B88)</f>
        <v xml:space="preserve"> </v>
      </c>
      <c r="C54" s="355" t="str">
        <f>IF(Means!$B88&gt;$F$42," ",Means!C88)</f>
        <v xml:space="preserve"> </v>
      </c>
      <c r="D54" s="356" t="str">
        <f>IF(Means!$C88&gt;$L$12," ",IF(Means!$C88&lt;7,Means!K88,Means!L88))</f>
        <v xml:space="preserve"> </v>
      </c>
      <c r="E54" s="253" t="str">
        <f>IF(Means!$B88&gt;$F$42," ",Means!D88)</f>
        <v xml:space="preserve"> </v>
      </c>
      <c r="F54" s="254" t="str">
        <f>IF(Means!$B88&gt;$F$42," ",Means!E88)</f>
        <v xml:space="preserve"> </v>
      </c>
      <c r="G54" s="255" t="str">
        <f>IF(Means!$B88&gt;$F$42," ",Means!F88)</f>
        <v xml:space="preserve"> </v>
      </c>
      <c r="H54" s="255" t="str">
        <f>IF(Means!$B88&gt;$F$42," ",Means!G88)</f>
        <v xml:space="preserve"> </v>
      </c>
      <c r="I54" s="253" t="str">
        <f>IF(Means!$B88&gt;$F$42," ",Means!H88)</f>
        <v xml:space="preserve"> </v>
      </c>
      <c r="J54" s="253" t="str">
        <f>IF(Means!$B88&gt;$F$42," ",Means!I88)</f>
        <v xml:space="preserve"> </v>
      </c>
      <c r="K54" s="252" t="str">
        <f>IF(Means!$B88&gt;$F$42," ",Means!J88)</f>
        <v xml:space="preserve"> </v>
      </c>
      <c r="L54" s="5"/>
      <c r="M54" s="5"/>
      <c r="N54" s="5"/>
      <c r="O54" s="5"/>
      <c r="P54" s="5"/>
    </row>
    <row r="55" spans="2:16" x14ac:dyDescent="0.25">
      <c r="B55" s="252" t="str">
        <f>IF(Means!$B89&gt;$F$42," ",Means!B89)</f>
        <v xml:space="preserve"> </v>
      </c>
      <c r="C55" s="355" t="str">
        <f>IF(Means!$B89&gt;$F$42," ",Means!C89)</f>
        <v xml:space="preserve"> </v>
      </c>
      <c r="D55" s="356" t="str">
        <f>IF(Means!$C89&gt;$L$12," ",IF(Means!$C89&lt;7,Means!K89,Means!L89))</f>
        <v xml:space="preserve"> </v>
      </c>
      <c r="E55" s="253" t="str">
        <f>IF(Means!$B89&gt;$F$42," ",Means!D89)</f>
        <v xml:space="preserve"> </v>
      </c>
      <c r="F55" s="254" t="str">
        <f>IF(Means!$B89&gt;$F$42," ",Means!E89)</f>
        <v xml:space="preserve"> </v>
      </c>
      <c r="G55" s="255" t="str">
        <f>IF(Means!$B89&gt;$F$42," ",Means!F89)</f>
        <v xml:space="preserve"> </v>
      </c>
      <c r="H55" s="255" t="str">
        <f>IF(Means!$B89&gt;$F$42," ",Means!G89)</f>
        <v xml:space="preserve"> </v>
      </c>
      <c r="I55" s="253" t="str">
        <f>IF(Means!$B89&gt;$F$42," ",Means!H89)</f>
        <v xml:space="preserve"> </v>
      </c>
      <c r="J55" s="253" t="str">
        <f>IF(Means!$B89&gt;$F$42," ",Means!I89)</f>
        <v xml:space="preserve"> </v>
      </c>
      <c r="K55" s="252" t="str">
        <f>IF(Means!$B89&gt;$F$42," ",Means!J89)</f>
        <v xml:space="preserve"> </v>
      </c>
      <c r="L55" s="5"/>
      <c r="M55" s="5"/>
      <c r="N55" s="5"/>
      <c r="O55" s="5"/>
      <c r="P55" s="5"/>
    </row>
    <row r="56" spans="2:16" x14ac:dyDescent="0.25">
      <c r="B56" s="252" t="str">
        <f>IF(Means!$B90&gt;$F$42," ",Means!B90)</f>
        <v xml:space="preserve"> </v>
      </c>
      <c r="C56" s="355" t="str">
        <f>IF(Means!$B90&gt;$F$42," ",Means!C90)</f>
        <v xml:space="preserve"> </v>
      </c>
      <c r="D56" s="356" t="str">
        <f>IF(Means!$C90&gt;$L$12," ",IF(Means!$C90&lt;7,Means!K90,Means!L90))</f>
        <v xml:space="preserve"> </v>
      </c>
      <c r="E56" s="253" t="str">
        <f>IF(Means!$B90&gt;$F$42," ",Means!D90)</f>
        <v xml:space="preserve"> </v>
      </c>
      <c r="F56" s="254" t="str">
        <f>IF(Means!$B90&gt;$F$42," ",Means!E90)</f>
        <v xml:space="preserve"> </v>
      </c>
      <c r="G56" s="255" t="str">
        <f>IF(Means!$B90&gt;$F$42," ",Means!F90)</f>
        <v xml:space="preserve"> </v>
      </c>
      <c r="H56" s="255" t="str">
        <f>IF(Means!$B90&gt;$F$42," ",Means!G90)</f>
        <v xml:space="preserve"> </v>
      </c>
      <c r="I56" s="253" t="str">
        <f>IF(Means!$B90&gt;$F$42," ",Means!H90)</f>
        <v xml:space="preserve"> </v>
      </c>
      <c r="J56" s="253" t="str">
        <f>IF(Means!$B90&gt;$F$42," ",Means!I90)</f>
        <v xml:space="preserve"> </v>
      </c>
      <c r="K56" s="252" t="str">
        <f>IF(Means!$B90&gt;$F$42," ",Means!J90)</f>
        <v xml:space="preserve"> </v>
      </c>
      <c r="L56" s="5"/>
      <c r="M56" s="5"/>
      <c r="N56" s="5"/>
      <c r="O56" s="5"/>
      <c r="P56" s="5"/>
    </row>
    <row r="57" spans="2:16" x14ac:dyDescent="0.25">
      <c r="B57" s="252">
        <f>IF(Means!$B91&gt;$F$42," ",Means!B91)</f>
        <v>4</v>
      </c>
      <c r="C57" s="355">
        <f>IF(Means!$B91&gt;$F$42," ",Means!C91)</f>
        <v>1</v>
      </c>
      <c r="D57" s="356" t="str">
        <f>IF(Means!$C91&gt;$L$12," ",IF(Means!$C91&lt;7,Means!K91,Means!L91))</f>
        <v>A</v>
      </c>
      <c r="E57" s="253">
        <f>IF(Means!$B91&gt;$F$42," ",Means!D91)</f>
        <v>1.6159846153846149</v>
      </c>
      <c r="F57" s="254">
        <f>IF(Means!$B91&gt;$F$42," ",Means!E91)</f>
        <v>0.31216698232207551</v>
      </c>
      <c r="G57" s="255">
        <f>IF(Means!$B91&gt;$F$42," ",Means!F91)</f>
        <v>65</v>
      </c>
      <c r="H57" s="255">
        <f>IF(Means!$B91&gt;$F$42," ",Means!G91)</f>
        <v>245</v>
      </c>
      <c r="I57" s="253">
        <f>IF(Means!$B91&gt;$F$42," ",Means!H91)</f>
        <v>0.99235937770093685</v>
      </c>
      <c r="J57" s="253">
        <f>IF(Means!$B91&gt;$F$42," ",Means!I91)</f>
        <v>2.2396098530682931</v>
      </c>
      <c r="K57" s="252">
        <f>IF(Means!$B91&gt;$F$42," ",Means!J91)</f>
        <v>1</v>
      </c>
      <c r="L57" s="5"/>
      <c r="M57" s="5"/>
      <c r="N57" s="5"/>
      <c r="O57" s="5"/>
      <c r="P57" s="5"/>
    </row>
    <row r="58" spans="2:16" x14ac:dyDescent="0.25">
      <c r="B58" s="252">
        <f>IF(Means!$B92&gt;$F$42," ",Means!B92)</f>
        <v>3</v>
      </c>
      <c r="C58" s="355">
        <f>IF(Means!$B92&gt;$F$42," ",Means!C92)</f>
        <v>2</v>
      </c>
      <c r="D58" s="356" t="str">
        <f>IF(Means!$C92&gt;$L$12," ",IF(Means!$C92&lt;7,Means!K92,Means!L92))</f>
        <v>B</v>
      </c>
      <c r="E58" s="253">
        <f>IF(Means!$B92&gt;$F$42," ",Means!D92)</f>
        <v>3.796796296296296</v>
      </c>
      <c r="F58" s="254">
        <f>IF(Means!$B92&gt;$F$42," ",Means!E92)</f>
        <v>0.52762910603541391</v>
      </c>
      <c r="G58" s="255">
        <f>IF(Means!$B92&gt;$F$42," ",Means!F92)</f>
        <v>54</v>
      </c>
      <c r="H58" s="255">
        <f>IF(Means!$B92&gt;$F$42," ",Means!G92)</f>
        <v>180</v>
      </c>
      <c r="I58" s="253">
        <f>IF(Means!$B92&gt;$F$42," ",Means!H92)</f>
        <v>2.7385063298526169</v>
      </c>
      <c r="J58" s="253">
        <f>IF(Means!$B92&gt;$F$42," ",Means!I92)</f>
        <v>4.8550862627399756</v>
      </c>
      <c r="K58" s="252">
        <f>IF(Means!$B92&gt;$F$42," ",Means!J92)</f>
        <v>2</v>
      </c>
      <c r="L58" s="5"/>
      <c r="M58" s="5"/>
      <c r="N58" s="5"/>
      <c r="O58" s="5"/>
      <c r="P58" s="5"/>
    </row>
    <row r="59" spans="2:16" x14ac:dyDescent="0.25">
      <c r="B59" s="252">
        <f>IF(Means!$B93&gt;$F$42," ",Means!B93)</f>
        <v>2</v>
      </c>
      <c r="C59" s="355">
        <f>IF(Means!$B93&gt;$F$42," ",Means!C93)</f>
        <v>3</v>
      </c>
      <c r="D59" s="356" t="str">
        <f>IF(Means!$C93&gt;$L$12," ",IF(Means!$C93&lt;7,Means!K93,Means!L93))</f>
        <v>C</v>
      </c>
      <c r="E59" s="253">
        <f>IF(Means!$B93&gt;$F$42," ",Means!D93)</f>
        <v>6.132475471698112</v>
      </c>
      <c r="F59" s="254">
        <f>IF(Means!$B93&gt;$F$42," ",Means!E93)</f>
        <v>0.45956827712739357</v>
      </c>
      <c r="G59" s="255">
        <f>IF(Means!$B93&gt;$F$42," ",Means!F93)</f>
        <v>53</v>
      </c>
      <c r="H59" s="255">
        <f>IF(Means!$B93&gt;$F$42," ",Means!G93)</f>
        <v>126</v>
      </c>
      <c r="I59" s="253">
        <f>IF(Means!$B93&gt;$F$42," ",Means!H93)</f>
        <v>5.2102842566927237</v>
      </c>
      <c r="J59" s="253">
        <f>IF(Means!$B93&gt;$F$42," ",Means!I93)</f>
        <v>7.0546666867035004</v>
      </c>
      <c r="K59" s="252">
        <f>IF(Means!$B93&gt;$F$42," ",Means!J93)</f>
        <v>3</v>
      </c>
      <c r="L59" s="5"/>
      <c r="M59" s="5"/>
      <c r="N59" s="5"/>
      <c r="O59" s="5"/>
      <c r="P59" s="5"/>
    </row>
    <row r="60" spans="2:16" ht="13.8" thickBot="1" x14ac:dyDescent="0.3">
      <c r="B60" s="256">
        <f>IF(Means!$B94&gt;$F$42," ",Means!B94)</f>
        <v>1</v>
      </c>
      <c r="C60" s="357">
        <f>IF(Means!$B94&gt;$F$42," ",Means!C94)</f>
        <v>4</v>
      </c>
      <c r="D60" s="358" t="str">
        <f>IF(Means!$C94&gt;$L$12," ",IF(Means!$C94&lt;7,Means!K94,Means!L94))</f>
        <v>D</v>
      </c>
      <c r="E60" s="257">
        <f>IF(Means!$B94&gt;$F$42," ",Means!D94)</f>
        <v>6.2331767123287678</v>
      </c>
      <c r="F60" s="258">
        <f>IF(Means!$B94&gt;$F$42," ",Means!E94)</f>
        <v>0.36207195267474224</v>
      </c>
      <c r="G60" s="259">
        <f>IF(Means!$B94&gt;$F$42," ",Means!F94)</f>
        <v>73</v>
      </c>
      <c r="H60" s="259">
        <f>IF(Means!$B94&gt;$F$42," ",Means!G94)</f>
        <v>73</v>
      </c>
      <c r="I60" s="257">
        <f>IF(Means!$B94&gt;$F$42," ",Means!H94)</f>
        <v>5.5113994661615475</v>
      </c>
      <c r="J60" s="257">
        <f>IF(Means!$B94&gt;$F$42," ",Means!I94)</f>
        <v>6.9549539584959881</v>
      </c>
      <c r="K60" s="256">
        <f>IF(Means!$B94&gt;$F$42," ",Means!J94)</f>
        <v>4</v>
      </c>
      <c r="L60" s="5"/>
      <c r="M60" s="5"/>
      <c r="N60" s="5"/>
      <c r="O60" s="5"/>
      <c r="P60" s="5"/>
    </row>
    <row r="61" spans="2:16" x14ac:dyDescent="0.25">
      <c r="B61" s="59"/>
      <c r="C61" s="60"/>
      <c r="D61" s="61"/>
      <c r="E61" s="62"/>
      <c r="F61" s="63"/>
      <c r="G61" s="61"/>
      <c r="H61" s="61"/>
      <c r="I61" s="59"/>
      <c r="K61" s="5"/>
      <c r="L61" s="5"/>
      <c r="M61" s="5"/>
      <c r="N61" s="5"/>
      <c r="O61" s="5"/>
      <c r="P61" s="5"/>
    </row>
    <row r="62" spans="2:16" ht="13.8" thickBot="1" x14ac:dyDescent="0.3">
      <c r="B62" t="s">
        <v>125</v>
      </c>
    </row>
    <row r="63" spans="2:16" ht="13.8" thickBot="1" x14ac:dyDescent="0.3">
      <c r="B63" s="359">
        <v>12</v>
      </c>
      <c r="C63" s="360">
        <v>11</v>
      </c>
      <c r="D63" s="361">
        <v>10</v>
      </c>
      <c r="E63" s="361">
        <v>9</v>
      </c>
      <c r="F63" s="361">
        <v>8</v>
      </c>
      <c r="G63" s="361">
        <v>7</v>
      </c>
      <c r="H63" s="361">
        <v>6</v>
      </c>
      <c r="I63" s="361">
        <v>5</v>
      </c>
      <c r="J63" s="361">
        <v>4</v>
      </c>
      <c r="K63" s="361">
        <v>3</v>
      </c>
      <c r="L63" s="362">
        <v>2</v>
      </c>
      <c r="M63" t="s">
        <v>59</v>
      </c>
    </row>
    <row r="64" spans="2:16" ht="13.8" thickBot="1" x14ac:dyDescent="0.3">
      <c r="B64" s="244" t="str">
        <f>F49</f>
        <v xml:space="preserve"> </v>
      </c>
      <c r="C64" s="161" t="str">
        <f>F50</f>
        <v xml:space="preserve"> </v>
      </c>
      <c r="D64" s="88" t="str">
        <f>F51</f>
        <v xml:space="preserve"> </v>
      </c>
      <c r="E64" s="88" t="str">
        <f>F52</f>
        <v xml:space="preserve"> </v>
      </c>
      <c r="F64" s="88" t="str">
        <f>F53</f>
        <v xml:space="preserve"> </v>
      </c>
      <c r="G64" s="88" t="str">
        <f>F54</f>
        <v xml:space="preserve"> </v>
      </c>
      <c r="H64" s="88" t="str">
        <f>F55</f>
        <v xml:space="preserve"> </v>
      </c>
      <c r="I64" s="88" t="str">
        <f>F56</f>
        <v xml:space="preserve"> </v>
      </c>
      <c r="J64" s="88">
        <f>F57</f>
        <v>0.31216698232207551</v>
      </c>
      <c r="K64" s="88">
        <f>F58</f>
        <v>0.52762910603541391</v>
      </c>
      <c r="L64" s="241">
        <f>F59</f>
        <v>0.45956827712739357</v>
      </c>
      <c r="M64" s="237" t="s">
        <v>60</v>
      </c>
    </row>
    <row r="65" spans="1:13" x14ac:dyDescent="0.25">
      <c r="A65" s="127">
        <v>1</v>
      </c>
      <c r="B65" s="90" t="str">
        <f>IF(OR(B$63&gt;$F$42,$A65&gt;$F$42),"  ",(TINV(0.05/(0.5*$F$42*($F$42-1)),$F$40-$F$42))*(SQRT(B$64*B$64+$M65*$M65)))</f>
        <v xml:space="preserve">  </v>
      </c>
      <c r="C65" s="89" t="str">
        <f t="shared" ref="C65:L65" si="2">IF(OR(C$63&gt;$F$42,$A65&gt;$F$42),"  ",(TINV(0.05/(0.5*$F$42*($F$42-1)),$F$40-$F$42))*(SQRT(C$64*C$64+$M65*$M65)))</f>
        <v xml:space="preserve">  </v>
      </c>
      <c r="D65" s="89" t="str">
        <f t="shared" si="2"/>
        <v xml:space="preserve">  </v>
      </c>
      <c r="E65" s="89" t="str">
        <f t="shared" si="2"/>
        <v xml:space="preserve">  </v>
      </c>
      <c r="F65" s="89" t="str">
        <f t="shared" si="2"/>
        <v xml:space="preserve">  </v>
      </c>
      <c r="G65" s="89" t="str">
        <f t="shared" si="2"/>
        <v xml:space="preserve">  </v>
      </c>
      <c r="H65" s="89" t="str">
        <f t="shared" si="2"/>
        <v xml:space="preserve">  </v>
      </c>
      <c r="I65" s="89" t="str">
        <f t="shared" si="2"/>
        <v xml:space="preserve">  </v>
      </c>
      <c r="J65" s="89">
        <f t="shared" si="2"/>
        <v>1.2718904102795339</v>
      </c>
      <c r="K65" s="89">
        <f t="shared" si="2"/>
        <v>1.7024931233009952</v>
      </c>
      <c r="L65" s="91">
        <f t="shared" si="2"/>
        <v>1.5565653262149135</v>
      </c>
      <c r="M65" s="238">
        <f>F60</f>
        <v>0.36207195267474224</v>
      </c>
    </row>
    <row r="66" spans="1:13" x14ac:dyDescent="0.25">
      <c r="A66" s="236">
        <v>2</v>
      </c>
      <c r="B66" s="242" t="str">
        <f t="shared" ref="B66:K75" si="3">IF(OR(B$63&gt;$F$42,$A66&gt;$F$42),"  ",(TINV(0.05/(0.5*$F$42*($F$42-1)),$F$40-$F$42))*(SQRT(B$64*B$64+$M66*$M66)))</f>
        <v xml:space="preserve">  </v>
      </c>
      <c r="C66" s="92" t="str">
        <f t="shared" si="3"/>
        <v xml:space="preserve">  </v>
      </c>
      <c r="D66" s="92" t="str">
        <f t="shared" si="3"/>
        <v xml:space="preserve">  </v>
      </c>
      <c r="E66" s="92" t="str">
        <f t="shared" si="3"/>
        <v xml:space="preserve">  </v>
      </c>
      <c r="F66" s="92" t="str">
        <f t="shared" si="3"/>
        <v xml:space="preserve">  </v>
      </c>
      <c r="G66" s="92" t="str">
        <f t="shared" si="3"/>
        <v xml:space="preserve">  </v>
      </c>
      <c r="H66" s="92" t="str">
        <f t="shared" si="3"/>
        <v xml:space="preserve">  </v>
      </c>
      <c r="I66" s="92" t="str">
        <f t="shared" si="3"/>
        <v xml:space="preserve">  </v>
      </c>
      <c r="J66" s="92">
        <f t="shared" si="3"/>
        <v>1.4780818239459323</v>
      </c>
      <c r="K66" s="92">
        <f t="shared" si="3"/>
        <v>1.8615862852431715</v>
      </c>
      <c r="L66" s="234"/>
      <c r="M66" s="239">
        <f>F59</f>
        <v>0.45956827712739357</v>
      </c>
    </row>
    <row r="67" spans="1:13" x14ac:dyDescent="0.25">
      <c r="A67" s="236">
        <v>3</v>
      </c>
      <c r="B67" s="242" t="str">
        <f t="shared" si="3"/>
        <v xml:space="preserve">  </v>
      </c>
      <c r="C67" s="92" t="str">
        <f t="shared" si="3"/>
        <v xml:space="preserve">  </v>
      </c>
      <c r="D67" s="92" t="str">
        <f t="shared" si="3"/>
        <v xml:space="preserve">  </v>
      </c>
      <c r="E67" s="92" t="str">
        <f t="shared" si="3"/>
        <v xml:space="preserve">  </v>
      </c>
      <c r="F67" s="92" t="str">
        <f t="shared" si="3"/>
        <v xml:space="preserve">  </v>
      </c>
      <c r="G67" s="92" t="str">
        <f t="shared" si="3"/>
        <v xml:space="preserve">  </v>
      </c>
      <c r="H67" s="92" t="str">
        <f t="shared" si="3"/>
        <v xml:space="preserve">  </v>
      </c>
      <c r="I67" s="92" t="str">
        <f t="shared" si="3"/>
        <v xml:space="preserve">  </v>
      </c>
      <c r="J67" s="92">
        <f t="shared" si="3"/>
        <v>1.6310466266762489</v>
      </c>
      <c r="K67" s="131"/>
      <c r="L67" s="234"/>
      <c r="M67" s="239">
        <f>F58</f>
        <v>0.52762910603541391</v>
      </c>
    </row>
    <row r="68" spans="1:13" x14ac:dyDescent="0.25">
      <c r="A68" s="236">
        <v>4</v>
      </c>
      <c r="B68" s="242" t="str">
        <f t="shared" si="3"/>
        <v xml:space="preserve">  </v>
      </c>
      <c r="C68" s="92" t="str">
        <f t="shared" si="3"/>
        <v xml:space="preserve">  </v>
      </c>
      <c r="D68" s="92" t="str">
        <f t="shared" si="3"/>
        <v xml:space="preserve">  </v>
      </c>
      <c r="E68" s="92" t="str">
        <f t="shared" si="3"/>
        <v xml:space="preserve">  </v>
      </c>
      <c r="F68" s="92" t="str">
        <f t="shared" si="3"/>
        <v xml:space="preserve">  </v>
      </c>
      <c r="G68" s="92" t="str">
        <f t="shared" si="3"/>
        <v xml:space="preserve">  </v>
      </c>
      <c r="H68" s="92" t="str">
        <f t="shared" si="3"/>
        <v xml:space="preserve">  </v>
      </c>
      <c r="I68" s="92" t="str">
        <f t="shared" si="3"/>
        <v xml:space="preserve">  </v>
      </c>
      <c r="J68" s="131"/>
      <c r="K68" s="131"/>
      <c r="L68" s="234"/>
      <c r="M68" s="239">
        <f>F57</f>
        <v>0.31216698232207551</v>
      </c>
    </row>
    <row r="69" spans="1:13" x14ac:dyDescent="0.25">
      <c r="A69" s="236">
        <v>5</v>
      </c>
      <c r="B69" s="242" t="str">
        <f t="shared" si="3"/>
        <v xml:space="preserve">  </v>
      </c>
      <c r="C69" s="92" t="str">
        <f t="shared" si="3"/>
        <v xml:space="preserve">  </v>
      </c>
      <c r="D69" s="92" t="str">
        <f t="shared" si="3"/>
        <v xml:space="preserve">  </v>
      </c>
      <c r="E69" s="92" t="str">
        <f t="shared" si="3"/>
        <v xml:space="preserve">  </v>
      </c>
      <c r="F69" s="92" t="str">
        <f t="shared" si="3"/>
        <v xml:space="preserve">  </v>
      </c>
      <c r="G69" s="92" t="str">
        <f t="shared" si="3"/>
        <v xml:space="preserve">  </v>
      </c>
      <c r="H69" s="92" t="str">
        <f t="shared" si="3"/>
        <v xml:space="preserve">  </v>
      </c>
      <c r="I69" s="131"/>
      <c r="J69" s="131"/>
      <c r="K69" s="131"/>
      <c r="L69" s="234"/>
      <c r="M69" s="239" t="str">
        <f>F56</f>
        <v xml:space="preserve"> </v>
      </c>
    </row>
    <row r="70" spans="1:13" x14ac:dyDescent="0.25">
      <c r="A70" s="236">
        <v>6</v>
      </c>
      <c r="B70" s="242" t="str">
        <f t="shared" si="3"/>
        <v xml:space="preserve">  </v>
      </c>
      <c r="C70" s="92" t="str">
        <f t="shared" si="3"/>
        <v xml:space="preserve">  </v>
      </c>
      <c r="D70" s="92" t="str">
        <f t="shared" si="3"/>
        <v xml:space="preserve">  </v>
      </c>
      <c r="E70" s="92" t="str">
        <f t="shared" si="3"/>
        <v xml:space="preserve">  </v>
      </c>
      <c r="F70" s="92" t="str">
        <f t="shared" si="3"/>
        <v xml:space="preserve">  </v>
      </c>
      <c r="G70" s="92" t="str">
        <f t="shared" si="3"/>
        <v xml:space="preserve">  </v>
      </c>
      <c r="H70" s="131"/>
      <c r="I70" s="131"/>
      <c r="J70" s="131"/>
      <c r="K70" s="131"/>
      <c r="L70" s="234"/>
      <c r="M70" s="239" t="str">
        <f>F55</f>
        <v xml:space="preserve"> </v>
      </c>
    </row>
    <row r="71" spans="1:13" x14ac:dyDescent="0.25">
      <c r="A71" s="236">
        <v>7</v>
      </c>
      <c r="B71" s="242" t="str">
        <f t="shared" si="3"/>
        <v xml:space="preserve">  </v>
      </c>
      <c r="C71" s="92" t="str">
        <f t="shared" si="3"/>
        <v xml:space="preserve">  </v>
      </c>
      <c r="D71" s="92" t="str">
        <f t="shared" si="3"/>
        <v xml:space="preserve">  </v>
      </c>
      <c r="E71" s="92" t="str">
        <f t="shared" si="3"/>
        <v xml:space="preserve">  </v>
      </c>
      <c r="F71" s="92" t="str">
        <f t="shared" si="3"/>
        <v xml:space="preserve">  </v>
      </c>
      <c r="G71" s="131"/>
      <c r="H71" s="131"/>
      <c r="I71" s="131"/>
      <c r="J71" s="131"/>
      <c r="K71" s="131"/>
      <c r="L71" s="234"/>
      <c r="M71" s="239" t="str">
        <f>F54</f>
        <v xml:space="preserve"> </v>
      </c>
    </row>
    <row r="72" spans="1:13" x14ac:dyDescent="0.25">
      <c r="A72" s="236">
        <v>8</v>
      </c>
      <c r="B72" s="242" t="str">
        <f t="shared" si="3"/>
        <v xml:space="preserve">  </v>
      </c>
      <c r="C72" s="92" t="str">
        <f t="shared" si="3"/>
        <v xml:space="preserve">  </v>
      </c>
      <c r="D72" s="92" t="str">
        <f t="shared" si="3"/>
        <v xml:space="preserve">  </v>
      </c>
      <c r="E72" s="92" t="str">
        <f t="shared" si="3"/>
        <v xml:space="preserve">  </v>
      </c>
      <c r="F72" s="131"/>
      <c r="G72" s="131"/>
      <c r="H72" s="131"/>
      <c r="I72" s="131"/>
      <c r="J72" s="131"/>
      <c r="K72" s="131"/>
      <c r="L72" s="234"/>
      <c r="M72" s="239" t="str">
        <f>F53</f>
        <v xml:space="preserve"> </v>
      </c>
    </row>
    <row r="73" spans="1:13" x14ac:dyDescent="0.25">
      <c r="A73" s="236">
        <v>9</v>
      </c>
      <c r="B73" s="242" t="str">
        <f t="shared" si="3"/>
        <v xml:space="preserve">  </v>
      </c>
      <c r="C73" s="92" t="str">
        <f t="shared" si="3"/>
        <v xml:space="preserve">  </v>
      </c>
      <c r="D73" s="92" t="str">
        <f t="shared" si="3"/>
        <v xml:space="preserve">  </v>
      </c>
      <c r="E73" s="131"/>
      <c r="F73" s="131"/>
      <c r="G73" s="131"/>
      <c r="H73" s="131"/>
      <c r="I73" s="131"/>
      <c r="J73" s="131"/>
      <c r="K73" s="131"/>
      <c r="L73" s="234"/>
      <c r="M73" s="239" t="str">
        <f>F52</f>
        <v xml:space="preserve"> </v>
      </c>
    </row>
    <row r="74" spans="1:13" x14ac:dyDescent="0.25">
      <c r="A74" s="236">
        <v>10</v>
      </c>
      <c r="B74" s="242" t="str">
        <f t="shared" si="3"/>
        <v xml:space="preserve">  </v>
      </c>
      <c r="C74" s="92" t="str">
        <f t="shared" si="3"/>
        <v xml:space="preserve">  </v>
      </c>
      <c r="D74" s="131"/>
      <c r="E74" s="131"/>
      <c r="F74" s="131"/>
      <c r="G74" s="131"/>
      <c r="H74" s="131"/>
      <c r="I74" s="131"/>
      <c r="J74" s="131"/>
      <c r="K74" s="131"/>
      <c r="L74" s="234"/>
      <c r="M74" s="239" t="str">
        <f>F51</f>
        <v xml:space="preserve"> </v>
      </c>
    </row>
    <row r="75" spans="1:13" ht="13.8" thickBot="1" x14ac:dyDescent="0.3">
      <c r="A75" s="129">
        <v>11</v>
      </c>
      <c r="B75" s="243" t="str">
        <f t="shared" si="3"/>
        <v xml:space="preserve">  </v>
      </c>
      <c r="C75" s="132"/>
      <c r="D75" s="132"/>
      <c r="E75" s="132"/>
      <c r="F75" s="132"/>
      <c r="G75" s="132"/>
      <c r="H75" s="132"/>
      <c r="I75" s="132"/>
      <c r="J75" s="132"/>
      <c r="K75" s="132"/>
      <c r="L75" s="235"/>
      <c r="M75" s="240" t="str">
        <f>F50</f>
        <v xml:space="preserve"> </v>
      </c>
    </row>
    <row r="82" spans="4:4" x14ac:dyDescent="0.25">
      <c r="D82" t="s">
        <v>178</v>
      </c>
    </row>
  </sheetData>
  <sheetProtection password="C550" sheet="1" objects="1" scenarios="1"/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33"/>
  </sheetPr>
  <dimension ref="A1:E39"/>
  <sheetViews>
    <sheetView showGridLines="0" topLeftCell="A19" workbookViewId="0">
      <selection activeCell="G3" sqref="G3"/>
    </sheetView>
  </sheetViews>
  <sheetFormatPr defaultRowHeight="13.2" x14ac:dyDescent="0.25"/>
  <cols>
    <col min="1" max="1" width="50.6640625" style="3" customWidth="1"/>
    <col min="2" max="2" width="7.6640625" style="3" customWidth="1"/>
    <col min="3" max="3" width="4.6640625" style="3" customWidth="1"/>
    <col min="4" max="4" width="10.88671875" style="3" customWidth="1"/>
    <col min="5" max="5" width="11.6640625" style="3" customWidth="1"/>
    <col min="6" max="16384" width="8.88671875" style="3"/>
  </cols>
  <sheetData>
    <row r="1" spans="1:5" ht="14.4" thickTop="1" thickBot="1" x14ac:dyDescent="0.3">
      <c r="A1" s="366" t="s">
        <v>210</v>
      </c>
      <c r="B1" s="367"/>
      <c r="C1" s="367"/>
      <c r="D1" s="367"/>
      <c r="E1" s="368"/>
    </row>
    <row r="2" spans="1:5" ht="14.4" thickTop="1" thickBot="1" x14ac:dyDescent="0.3">
      <c r="A2" s="369"/>
      <c r="B2" s="370"/>
      <c r="C2" s="370"/>
      <c r="D2" s="370"/>
      <c r="E2" s="371"/>
    </row>
    <row r="3" spans="1:5" ht="13.8" thickTop="1" x14ac:dyDescent="0.25">
      <c r="A3" s="372" t="s">
        <v>211</v>
      </c>
      <c r="B3" s="373"/>
      <c r="C3" s="373"/>
      <c r="D3" s="373"/>
      <c r="E3" s="374"/>
    </row>
    <row r="4" spans="1:5" s="394" customFormat="1" x14ac:dyDescent="0.25">
      <c r="A4" s="375" t="s">
        <v>212</v>
      </c>
      <c r="B4" s="376"/>
      <c r="C4" s="376"/>
      <c r="D4" s="376"/>
      <c r="E4" s="377"/>
    </row>
    <row r="5" spans="1:5" s="394" customFormat="1" x14ac:dyDescent="0.25">
      <c r="A5" s="395" t="s">
        <v>228</v>
      </c>
      <c r="B5" s="376"/>
      <c r="C5" s="376"/>
      <c r="D5" s="376"/>
      <c r="E5" s="377"/>
    </row>
    <row r="6" spans="1:5" x14ac:dyDescent="0.25">
      <c r="A6" s="369" t="s">
        <v>229</v>
      </c>
      <c r="B6" s="370"/>
      <c r="C6" s="370"/>
      <c r="D6" s="370"/>
      <c r="E6" s="371"/>
    </row>
    <row r="7" spans="1:5" x14ac:dyDescent="0.25">
      <c r="A7" s="369" t="s">
        <v>213</v>
      </c>
      <c r="B7" s="370"/>
      <c r="C7" s="370"/>
      <c r="D7" s="370"/>
      <c r="E7" s="371"/>
    </row>
    <row r="8" spans="1:5" x14ac:dyDescent="0.25">
      <c r="A8" s="369" t="s">
        <v>230</v>
      </c>
      <c r="B8" s="370"/>
      <c r="C8" s="370"/>
      <c r="D8" s="370"/>
      <c r="E8" s="371"/>
    </row>
    <row r="9" spans="1:5" x14ac:dyDescent="0.25">
      <c r="A9" s="379" t="s">
        <v>231</v>
      </c>
      <c r="B9" s="370"/>
      <c r="C9" s="370"/>
      <c r="D9" s="370"/>
      <c r="E9" s="371"/>
    </row>
    <row r="10" spans="1:5" x14ac:dyDescent="0.25">
      <c r="A10" s="369" t="s">
        <v>232</v>
      </c>
      <c r="B10" s="370"/>
      <c r="C10" s="370"/>
      <c r="D10" s="370"/>
      <c r="E10" s="371"/>
    </row>
    <row r="11" spans="1:5" x14ac:dyDescent="0.25">
      <c r="A11" s="369" t="s">
        <v>233</v>
      </c>
      <c r="B11" s="370"/>
      <c r="C11" s="370"/>
      <c r="D11" s="370"/>
      <c r="E11" s="371"/>
    </row>
    <row r="12" spans="1:5" x14ac:dyDescent="0.25">
      <c r="A12" s="369" t="s">
        <v>214</v>
      </c>
      <c r="B12" s="370"/>
      <c r="C12" s="370"/>
      <c r="D12" s="370"/>
      <c r="E12" s="371"/>
    </row>
    <row r="13" spans="1:5" x14ac:dyDescent="0.25">
      <c r="A13" s="369" t="s">
        <v>215</v>
      </c>
      <c r="B13" s="370"/>
      <c r="C13" s="370"/>
      <c r="D13" s="370"/>
      <c r="E13" s="371"/>
    </row>
    <row r="14" spans="1:5" x14ac:dyDescent="0.25">
      <c r="A14" s="369" t="s">
        <v>234</v>
      </c>
      <c r="B14" s="370"/>
      <c r="C14" s="370"/>
      <c r="D14" s="370"/>
      <c r="E14" s="371"/>
    </row>
    <row r="15" spans="1:5" x14ac:dyDescent="0.25">
      <c r="A15" s="369" t="s">
        <v>216</v>
      </c>
      <c r="B15" s="370"/>
      <c r="C15" s="370"/>
      <c r="D15" s="370"/>
      <c r="E15" s="371"/>
    </row>
    <row r="16" spans="1:5" x14ac:dyDescent="0.25">
      <c r="A16" s="369" t="s">
        <v>217</v>
      </c>
      <c r="B16" s="370"/>
      <c r="C16" s="370"/>
      <c r="D16" s="370"/>
      <c r="E16" s="371"/>
    </row>
    <row r="17" spans="1:5" x14ac:dyDescent="0.25">
      <c r="A17" s="369" t="s">
        <v>235</v>
      </c>
      <c r="B17" s="370"/>
      <c r="C17" s="370"/>
      <c r="D17" s="370"/>
      <c r="E17" s="371"/>
    </row>
    <row r="18" spans="1:5" ht="13.8" thickBot="1" x14ac:dyDescent="0.3">
      <c r="A18" s="380"/>
      <c r="B18" s="381"/>
      <c r="C18" s="381"/>
      <c r="D18" s="381"/>
      <c r="E18" s="382"/>
    </row>
    <row r="19" spans="1:5" ht="13.8" thickTop="1" x14ac:dyDescent="0.25">
      <c r="A19" s="383" t="s">
        <v>218</v>
      </c>
      <c r="B19" s="384" t="s">
        <v>219</v>
      </c>
      <c r="C19" s="385"/>
      <c r="D19" s="384" t="s">
        <v>220</v>
      </c>
      <c r="E19" s="386"/>
    </row>
    <row r="20" spans="1:5" x14ac:dyDescent="0.25">
      <c r="A20" s="387" t="s">
        <v>221</v>
      </c>
      <c r="B20" s="388">
        <v>84</v>
      </c>
      <c r="C20" s="396"/>
      <c r="D20" s="397"/>
      <c r="E20" s="398"/>
    </row>
    <row r="21" spans="1:5" ht="13.8" thickBot="1" x14ac:dyDescent="0.3">
      <c r="A21" s="389" t="s">
        <v>223</v>
      </c>
      <c r="B21" s="388">
        <v>3</v>
      </c>
      <c r="C21" s="396"/>
      <c r="D21" s="397" t="s">
        <v>236</v>
      </c>
      <c r="E21" s="398"/>
    </row>
    <row r="22" spans="1:5" x14ac:dyDescent="0.25">
      <c r="A22" s="389" t="s">
        <v>222</v>
      </c>
      <c r="B22" s="388">
        <v>6</v>
      </c>
      <c r="C22" s="396"/>
      <c r="D22" s="399">
        <f>IF(CHIDIST(D$35,D$36)&lt;0.001,"",CHIDIST(D$35,D$36))</f>
        <v>0.87697239523263337</v>
      </c>
      <c r="E22" s="398"/>
    </row>
    <row r="23" spans="1:5" ht="13.8" thickBot="1" x14ac:dyDescent="0.3">
      <c r="A23" s="400" t="s">
        <v>237</v>
      </c>
      <c r="B23" s="401">
        <f>MIN(B21,B22)</f>
        <v>3</v>
      </c>
      <c r="C23" s="402"/>
      <c r="D23" s="403" t="str">
        <f>IF(CHIDIST(D$35,D$36)&lt;0.001,CHIDIST(D$35,D$36),"")</f>
        <v/>
      </c>
      <c r="E23" s="398"/>
    </row>
    <row r="24" spans="1:5" x14ac:dyDescent="0.25">
      <c r="A24" s="390" t="str">
        <f>IF(AND(B20&gt;B21*B22-1,B21&gt;1.5,B22&gt;1.5)," ","ERROR: At least 2 rows and 2 columns are required !")</f>
        <v xml:space="preserve"> </v>
      </c>
      <c r="B24" s="370"/>
      <c r="C24" s="404"/>
      <c r="D24" s="370"/>
      <c r="E24" s="371"/>
    </row>
    <row r="25" spans="1:5" x14ac:dyDescent="0.25">
      <c r="A25" s="383" t="s">
        <v>224</v>
      </c>
      <c r="B25" s="370"/>
      <c r="C25" s="404"/>
      <c r="D25" s="370"/>
      <c r="E25" s="371"/>
    </row>
    <row r="26" spans="1:5" x14ac:dyDescent="0.25">
      <c r="A26" s="375" t="s">
        <v>225</v>
      </c>
      <c r="B26" s="370"/>
      <c r="C26" s="404"/>
      <c r="D26" s="370"/>
      <c r="E26" s="371"/>
    </row>
    <row r="27" spans="1:5" ht="13.8" thickBot="1" x14ac:dyDescent="0.3">
      <c r="A27" s="378" t="s">
        <v>238</v>
      </c>
      <c r="B27" s="370"/>
      <c r="C27" s="404"/>
      <c r="D27" s="370"/>
      <c r="E27" s="371"/>
    </row>
    <row r="28" spans="1:5" x14ac:dyDescent="0.25">
      <c r="A28" s="387" t="s">
        <v>239</v>
      </c>
      <c r="B28" s="391"/>
      <c r="C28" s="405">
        <f>B20*B28*B28</f>
        <v>0</v>
      </c>
      <c r="D28" s="406">
        <f>SQRT(D29)</f>
        <v>0.24895911740544921</v>
      </c>
      <c r="E28" s="407" t="str">
        <f>IF(D28*D28&gt;B23-1,"Input error !!)","  ")</f>
        <v xml:space="preserve">  </v>
      </c>
    </row>
    <row r="29" spans="1:5" x14ac:dyDescent="0.25">
      <c r="A29" s="387" t="s">
        <v>240</v>
      </c>
      <c r="B29" s="391"/>
      <c r="C29" s="405">
        <f>B20*B29</f>
        <v>0</v>
      </c>
      <c r="D29" s="408">
        <f>D37/B20</f>
        <v>6.1980642139300247E-2</v>
      </c>
      <c r="E29" s="407" t="str">
        <f>IF(D29&gt;B23-1,"Input error !!)","  ")</f>
        <v xml:space="preserve">  </v>
      </c>
    </row>
    <row r="30" spans="1:5" ht="13.8" thickBot="1" x14ac:dyDescent="0.3">
      <c r="A30" s="387" t="s">
        <v>226</v>
      </c>
      <c r="B30" s="391"/>
      <c r="C30" s="405">
        <f>B20*B30*B30/(1+B30*B30)</f>
        <v>0</v>
      </c>
      <c r="D30" s="409">
        <f>SQRT(D37/(D37+B20))</f>
        <v>0.24158487204716431</v>
      </c>
      <c r="E30" s="407" t="str">
        <f>IF(D30&gt;1,"Input error !!)","  ")</f>
        <v xml:space="preserve">  </v>
      </c>
    </row>
    <row r="31" spans="1:5" ht="14.4" thickTop="1" thickBot="1" x14ac:dyDescent="0.3">
      <c r="A31" s="387" t="s">
        <v>227</v>
      </c>
      <c r="B31" s="391"/>
      <c r="C31" s="405">
        <f>B20*B31*B31*(B23-1)</f>
        <v>0</v>
      </c>
      <c r="D31" s="410">
        <f>SQRT(D32)</f>
        <v>0.17604068015561097</v>
      </c>
      <c r="E31" s="407" t="str">
        <f>IF(D31&gt;1,"Input error !!)","  ")</f>
        <v xml:space="preserve">  </v>
      </c>
    </row>
    <row r="32" spans="1:5" ht="13.8" thickTop="1" x14ac:dyDescent="0.25">
      <c r="A32" s="387" t="s">
        <v>241</v>
      </c>
      <c r="B32" s="391"/>
      <c r="C32" s="405">
        <f>B32*B20*(B23-1)</f>
        <v>0</v>
      </c>
      <c r="D32" s="411">
        <f>D29/(B23-1)</f>
        <v>3.0990321069650124E-2</v>
      </c>
      <c r="E32" s="407" t="str">
        <f>IF(D32&gt;1,"Input error !!)","  ")</f>
        <v xml:space="preserve">  </v>
      </c>
    </row>
    <row r="33" spans="1:5" x14ac:dyDescent="0.25">
      <c r="A33" s="387" t="s">
        <v>242</v>
      </c>
      <c r="B33" s="391">
        <v>0.14000000000000001</v>
      </c>
      <c r="C33" s="405">
        <f>B20*B33*B33*(SQRT(D36))</f>
        <v>5.206373939701221</v>
      </c>
      <c r="D33" s="408">
        <f>SQRT(D34)</f>
        <v>0.14000000000000001</v>
      </c>
      <c r="E33" s="407" t="str">
        <f>IF(D33*D33&gt;(B23-1)/(SQRT(D36)),"Input error !!)","  ")</f>
        <v xml:space="preserve">  </v>
      </c>
    </row>
    <row r="34" spans="1:5" x14ac:dyDescent="0.25">
      <c r="A34" s="387" t="s">
        <v>243</v>
      </c>
      <c r="B34" s="391"/>
      <c r="C34" s="405">
        <f>B34*B20*(SQRT(D36))</f>
        <v>0</v>
      </c>
      <c r="D34" s="408">
        <f>D29/(SQRT(D36))</f>
        <v>1.9600000000000003E-2</v>
      </c>
      <c r="E34" s="407" t="str">
        <f>IF(D34&gt;(B23-1)/(SQRT(D36)),"Input error !!)","  ")</f>
        <v xml:space="preserve">  </v>
      </c>
    </row>
    <row r="35" spans="1:5" x14ac:dyDescent="0.25">
      <c r="A35" s="387" t="s">
        <v>244</v>
      </c>
      <c r="B35" s="391"/>
      <c r="C35" s="405">
        <f>B35</f>
        <v>0</v>
      </c>
      <c r="D35" s="408">
        <f>D37</f>
        <v>5.206373939701221</v>
      </c>
      <c r="E35" s="407" t="str">
        <f>IF(D35&gt;B20*B23,"Input error !!)","  ")</f>
        <v xml:space="preserve">  </v>
      </c>
    </row>
    <row r="36" spans="1:5" ht="13.8" thickBot="1" x14ac:dyDescent="0.3">
      <c r="A36" s="393" t="s">
        <v>245</v>
      </c>
      <c r="B36" s="412"/>
      <c r="C36" s="412"/>
      <c r="D36" s="413">
        <f>(B21-1)*(B22-1)</f>
        <v>10</v>
      </c>
      <c r="E36" s="392"/>
    </row>
    <row r="37" spans="1:5" ht="13.8" thickBot="1" x14ac:dyDescent="0.3">
      <c r="A37" s="369" t="s">
        <v>246</v>
      </c>
      <c r="B37" s="414"/>
      <c r="D37" s="415">
        <f>MAX(C28:C35)</f>
        <v>5.206373939701221</v>
      </c>
      <c r="E37" s="392"/>
    </row>
    <row r="38" spans="1:5" ht="14.4" thickTop="1" thickBot="1" x14ac:dyDescent="0.3">
      <c r="A38" s="416" t="s">
        <v>247</v>
      </c>
      <c r="B38" s="417" t="str">
        <f>IF(MIN(B28:B35)&lt;0,"INPUT ERROR (negative statistics) !!"," ")</f>
        <v xml:space="preserve"> </v>
      </c>
      <c r="C38" s="418"/>
      <c r="D38" s="418"/>
      <c r="E38" s="419"/>
    </row>
    <row r="39" spans="1:5" ht="13.8" thickTop="1" x14ac:dyDescent="0.25"/>
  </sheetData>
  <sheetProtection password="C550" sheet="1" objects="1" scenarios="1"/>
  <phoneticPr fontId="3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BD67A439769B4F81E2E34B1D751CAF" ma:contentTypeVersion="15" ma:contentTypeDescription="Een nieuw document maken." ma:contentTypeScope="" ma:versionID="b2992ce0bfa5c6255fafbaa2302300c1">
  <xsd:schema xmlns:xsd="http://www.w3.org/2001/XMLSchema" xmlns:xs="http://www.w3.org/2001/XMLSchema" xmlns:p="http://schemas.microsoft.com/office/2006/metadata/properties" xmlns:ns2="2c1f04c7-227a-46b3-bb97-c5bf95375edc" xmlns:ns3="e7876793-5875-4ed7-82f2-cec5ab29199e" targetNamespace="http://schemas.microsoft.com/office/2006/metadata/properties" ma:root="true" ma:fieldsID="4d8a7d4150a3dcef99c9888cf25401ec" ns2:_="" ns3:_="">
    <xsd:import namespace="2c1f04c7-227a-46b3-bb97-c5bf95375edc"/>
    <xsd:import namespace="e7876793-5875-4ed7-82f2-cec5ab29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f04c7-227a-46b3-bb97-c5bf95375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76793-5875-4ed7-82f2-cec5ab2919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f8fcd2-1016-4ab5-a493-22ed763fa163}" ma:internalName="TaxCatchAll" ma:showField="CatchAllData" ma:web="e7876793-5875-4ed7-82f2-cec5ab29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f04c7-227a-46b3-bb97-c5bf95375edc">
      <Terms xmlns="http://schemas.microsoft.com/office/infopath/2007/PartnerControls"/>
    </lcf76f155ced4ddcb4097134ff3c332f>
    <TaxCatchAll xmlns="e7876793-5875-4ed7-82f2-cec5ab29199e" xsi:nil="true"/>
  </documentManagement>
</p:properties>
</file>

<file path=customXml/itemProps1.xml><?xml version="1.0" encoding="utf-8"?>
<ds:datastoreItem xmlns:ds="http://schemas.openxmlformats.org/officeDocument/2006/customXml" ds:itemID="{DD1F9A35-E581-45D1-B715-E065BC17F24C}"/>
</file>

<file path=customXml/itemProps2.xml><?xml version="1.0" encoding="utf-8"?>
<ds:datastoreItem xmlns:ds="http://schemas.openxmlformats.org/officeDocument/2006/customXml" ds:itemID="{6BA95C52-E504-420B-8289-CB4F93FBB91A}"/>
</file>

<file path=customXml/itemProps3.xml><?xml version="1.0" encoding="utf-8"?>
<ds:datastoreItem xmlns:ds="http://schemas.openxmlformats.org/officeDocument/2006/customXml" ds:itemID="{85FE017E-6830-4949-9DC1-B08725DB4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Input</vt:lpstr>
      <vt:lpstr>Intro</vt:lpstr>
      <vt:lpstr>Output WDH</vt:lpstr>
      <vt:lpstr>Frequencies</vt:lpstr>
      <vt:lpstr>Means</vt:lpstr>
      <vt:lpstr>MulComp</vt:lpstr>
      <vt:lpstr>Convert</vt:lpstr>
      <vt:lpstr>Input!Print_Area</vt:lpstr>
      <vt:lpstr>Means!Print_Area</vt:lpstr>
      <vt:lpstr>'Output WDH'!Print_Area</vt:lpstr>
    </vt:vector>
  </TitlesOfParts>
  <Manager>----</Manager>
  <Company>FSW -EUR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WDH ToolkitNOM</dc:title>
  <dc:creator>W.M. Kalmijn</dc:creator>
  <cp:keywords>Happiness, correlates, nominal level,</cp:keywords>
  <cp:lastModifiedBy>Fredrik Radema</cp:lastModifiedBy>
  <cp:lastPrinted>2004-02-06T12:47:01Z</cp:lastPrinted>
  <dcterms:created xsi:type="dcterms:W3CDTF">2000-10-10T19:11:38Z</dcterms:created>
  <dcterms:modified xsi:type="dcterms:W3CDTF">2024-02-04T21:24:47Z</dcterms:modified>
  <cp:category>Statistics for correlational findings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0x01010029BD67A439769B4F81E2E34B1D751CAF</vt:lpwstr>
  </property>
  <property fmtid="{D5CDD505-2E9C-101B-9397-08002B2CF9AE}" pid="3" name="Order">
    <vt:r8>100</vt:r8>
  </property>
</Properties>
</file>